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queryTables/queryTable1.xml" ContentType="application/vnd.openxmlformats-officedocument.spreadsheetml.queryTable+xml"/>
  <Override PartName="/xl/tables/table4.xml" ContentType="application/vnd.openxmlformats-officedocument.spreadsheetml.table+xml"/>
  <Override PartName="/xl/queryTables/queryTable2.xml" ContentType="application/vnd.openxmlformats-officedocument.spreadsheetml.query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8827"/>
  <workbookPr defaultThemeVersion="166925"/>
  <mc:AlternateContent xmlns:mc="http://schemas.openxmlformats.org/markup-compatibility/2006">
    <mc:Choice Requires="x15">
      <x15ac:absPath xmlns:x15ac="http://schemas.microsoft.com/office/spreadsheetml/2010/11/ac" url="C:\Users\ballj\OneDrive\Documents\IMPERIAL\THESIS\Oil Data\"/>
    </mc:Choice>
  </mc:AlternateContent>
  <xr:revisionPtr revIDLastSave="3" documentId="AC39B348B54E627A2DB01EF2A465A1ED4C33767F" xr6:coauthVersionLast="26" xr6:coauthVersionMax="26" xr10:uidLastSave="{4AD0D42B-C270-41D5-AFB7-DE724CBAEDE5}"/>
  <bookViews>
    <workbookView xWindow="0" yWindow="0" windowWidth="19368" windowHeight="9048" activeTab="3" xr2:uid="{00000000-000D-0000-FFFF-FFFF00000000}"/>
  </bookViews>
  <sheets>
    <sheet name="Public" sheetId="1" r:id="rId1"/>
    <sheet name="Public_R" sheetId="4" r:id="rId2"/>
    <sheet name="Private" sheetId="2" r:id="rId3"/>
    <sheet name="Fields List" sheetId="6" r:id="rId4"/>
    <sheet name="Block Totals" sheetId="7" r:id="rId5"/>
    <sheet name="Sheet4" sheetId="11" r:id="rId6"/>
    <sheet name="Sheet2" sheetId="13" r:id="rId7"/>
    <sheet name="Sheet1" sheetId="12" r:id="rId8"/>
    <sheet name="Sheet3" sheetId="10" r:id="rId9"/>
    <sheet name="Agr. Thresh." sheetId="9" r:id="rId10"/>
    <sheet name="Reserves" sheetId="8" r:id="rId11"/>
    <sheet name="Info" sheetId="3" r:id="rId12"/>
    <sheet name="Sources" sheetId="5" r:id="rId13"/>
  </sheets>
  <definedNames>
    <definedName name="ExternalData_1" localSheetId="6" hidden="1">Sheet2!$A$1:$G$62</definedName>
    <definedName name="ExternalData_1" localSheetId="8" hidden="1">Sheet3!$A$1:$J$58</definedName>
  </definedNames>
  <calcPr calcId="171027"/>
  <fileRecoveryPr autoRecover="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70" i="7" l="1"/>
  <c r="S70" i="7" s="1"/>
  <c r="P71" i="7"/>
  <c r="S71" i="7" s="1"/>
  <c r="P72" i="7"/>
  <c r="S72" i="7" s="1"/>
  <c r="P69" i="7"/>
  <c r="T69" i="7" s="1"/>
  <c r="F69" i="7"/>
  <c r="F70" i="7"/>
  <c r="G69" i="7"/>
  <c r="H69" i="7"/>
  <c r="I69" i="7"/>
  <c r="J69" i="7"/>
  <c r="K69" i="7"/>
  <c r="L69" i="7" s="1"/>
  <c r="Q69" i="7" s="1"/>
  <c r="G70" i="7"/>
  <c r="H70" i="7"/>
  <c r="I70" i="7"/>
  <c r="J70" i="7"/>
  <c r="K70" i="7"/>
  <c r="L70" i="7" s="1"/>
  <c r="Q70" i="7" s="1"/>
  <c r="F71" i="7"/>
  <c r="G71" i="7"/>
  <c r="H71" i="7"/>
  <c r="I71" i="7"/>
  <c r="J71" i="7"/>
  <c r="K71" i="7"/>
  <c r="L71" i="7" s="1"/>
  <c r="Q71" i="7" s="1"/>
  <c r="F72" i="7"/>
  <c r="G72" i="7"/>
  <c r="H72" i="7"/>
  <c r="I72" i="7"/>
  <c r="J72" i="7"/>
  <c r="K72" i="7"/>
  <c r="L72" i="7" s="1"/>
  <c r="H12" i="7"/>
  <c r="H13" i="7"/>
  <c r="H14" i="7"/>
  <c r="H15" i="7"/>
  <c r="H16" i="7"/>
  <c r="H17" i="7"/>
  <c r="H18" i="7"/>
  <c r="H19" i="7"/>
  <c r="H20" i="7"/>
  <c r="H21" i="7"/>
  <c r="H22" i="7"/>
  <c r="H23" i="7"/>
  <c r="H24" i="7"/>
  <c r="H25" i="7"/>
  <c r="H26" i="7"/>
  <c r="H27" i="7"/>
  <c r="H28" i="7"/>
  <c r="H29" i="7"/>
  <c r="H30" i="7"/>
  <c r="H31" i="7"/>
  <c r="H32" i="7"/>
  <c r="H33" i="7"/>
  <c r="H34" i="7"/>
  <c r="H35" i="7"/>
  <c r="H36" i="7"/>
  <c r="H37" i="7"/>
  <c r="H38" i="7"/>
  <c r="H39" i="7"/>
  <c r="H40" i="7"/>
  <c r="H41" i="7"/>
  <c r="H42" i="7"/>
  <c r="H43" i="7"/>
  <c r="H44" i="7"/>
  <c r="H45" i="7"/>
  <c r="H46" i="7"/>
  <c r="H47" i="7"/>
  <c r="H48" i="7"/>
  <c r="H49" i="7"/>
  <c r="H50" i="7"/>
  <c r="H51" i="7"/>
  <c r="H52" i="7"/>
  <c r="H53" i="7"/>
  <c r="H54" i="7"/>
  <c r="H55" i="7"/>
  <c r="H56" i="7"/>
  <c r="H57" i="7"/>
  <c r="H58" i="7"/>
  <c r="H59" i="7"/>
  <c r="H60" i="7"/>
  <c r="H61" i="7"/>
  <c r="H62" i="7"/>
  <c r="H63" i="7"/>
  <c r="H64" i="7"/>
  <c r="H65" i="7"/>
  <c r="H66" i="7"/>
  <c r="H67" i="7"/>
  <c r="H68" i="7"/>
  <c r="G12" i="7"/>
  <c r="G13" i="7"/>
  <c r="G14" i="7"/>
  <c r="G15" i="7"/>
  <c r="G16" i="7"/>
  <c r="G17" i="7"/>
  <c r="G18" i="7"/>
  <c r="G19" i="7"/>
  <c r="G20" i="7"/>
  <c r="G21" i="7"/>
  <c r="G22" i="7"/>
  <c r="G23" i="7"/>
  <c r="G24" i="7"/>
  <c r="G25" i="7"/>
  <c r="G26" i="7"/>
  <c r="G27" i="7"/>
  <c r="G28" i="7"/>
  <c r="G29" i="7"/>
  <c r="G30" i="7"/>
  <c r="G31" i="7"/>
  <c r="G32" i="7"/>
  <c r="G33" i="7"/>
  <c r="G34" i="7"/>
  <c r="G35" i="7"/>
  <c r="G36" i="7"/>
  <c r="G37" i="7"/>
  <c r="G38" i="7"/>
  <c r="G39" i="7"/>
  <c r="G40" i="7"/>
  <c r="G41" i="7"/>
  <c r="G42" i="7"/>
  <c r="G43" i="7"/>
  <c r="G44" i="7"/>
  <c r="G45" i="7"/>
  <c r="G46" i="7"/>
  <c r="G47" i="7"/>
  <c r="G48" i="7"/>
  <c r="G49" i="7"/>
  <c r="G50" i="7"/>
  <c r="G51" i="7"/>
  <c r="G52" i="7"/>
  <c r="G53" i="7"/>
  <c r="G54" i="7"/>
  <c r="G55" i="7"/>
  <c r="G56" i="7"/>
  <c r="G57" i="7"/>
  <c r="G58" i="7"/>
  <c r="G59" i="7"/>
  <c r="G60" i="7"/>
  <c r="G61" i="7"/>
  <c r="G62" i="7"/>
  <c r="G63" i="7"/>
  <c r="G64" i="7"/>
  <c r="G65" i="7"/>
  <c r="G66" i="7"/>
  <c r="G67" i="7"/>
  <c r="G68" i="7"/>
  <c r="N72" i="7" l="1"/>
  <c r="Q72" i="7"/>
  <c r="T72" i="7"/>
  <c r="T71" i="7"/>
  <c r="T70" i="7"/>
  <c r="S69" i="7"/>
  <c r="N69" i="7"/>
  <c r="O69" i="7"/>
  <c r="M69" i="7"/>
  <c r="N70" i="7"/>
  <c r="O70" i="7"/>
  <c r="M70" i="7"/>
  <c r="N71" i="7"/>
  <c r="O71" i="7"/>
  <c r="M71" i="7"/>
  <c r="M72" i="7"/>
  <c r="O72" i="7"/>
  <c r="L21" i="7"/>
  <c r="N21" i="7" s="1"/>
  <c r="G74" i="7"/>
  <c r="P35" i="7"/>
  <c r="T35" i="7" s="1"/>
  <c r="P32" i="7"/>
  <c r="T32" i="7" s="1"/>
  <c r="P14" i="7"/>
  <c r="T14" i="7" s="1"/>
  <c r="C9" i="8"/>
  <c r="D9" i="8" s="1"/>
  <c r="C6" i="8"/>
  <c r="D6" i="8" s="1"/>
  <c r="D3" i="9"/>
  <c r="C3" i="9"/>
  <c r="B3" i="9"/>
  <c r="F12" i="7"/>
  <c r="F13" i="7"/>
  <c r="F14" i="7"/>
  <c r="F15" i="7"/>
  <c r="F16" i="7"/>
  <c r="F17" i="7"/>
  <c r="F18" i="7"/>
  <c r="F19" i="7"/>
  <c r="F20" i="7"/>
  <c r="F21" i="7"/>
  <c r="F22" i="7"/>
  <c r="F23" i="7"/>
  <c r="F24" i="7"/>
  <c r="F25" i="7"/>
  <c r="F26" i="7"/>
  <c r="F27" i="7"/>
  <c r="F28" i="7"/>
  <c r="F29" i="7"/>
  <c r="F30" i="7"/>
  <c r="F31" i="7"/>
  <c r="F32" i="7"/>
  <c r="F33" i="7"/>
  <c r="F34" i="7"/>
  <c r="F35" i="7"/>
  <c r="F36" i="7"/>
  <c r="F37" i="7"/>
  <c r="F38" i="7"/>
  <c r="F39" i="7"/>
  <c r="F40" i="7"/>
  <c r="F41" i="7"/>
  <c r="F42" i="7"/>
  <c r="F43" i="7"/>
  <c r="F44" i="7"/>
  <c r="F45" i="7"/>
  <c r="F46" i="7"/>
  <c r="F47" i="7"/>
  <c r="F48" i="7"/>
  <c r="F49" i="7"/>
  <c r="F50" i="7"/>
  <c r="F51" i="7"/>
  <c r="F52" i="7"/>
  <c r="F53" i="7"/>
  <c r="F54" i="7"/>
  <c r="F55" i="7"/>
  <c r="F56" i="7"/>
  <c r="F57" i="7"/>
  <c r="F58" i="7"/>
  <c r="F59" i="7"/>
  <c r="F60" i="7"/>
  <c r="F61" i="7"/>
  <c r="F62" i="7"/>
  <c r="F63" i="7"/>
  <c r="F64" i="7"/>
  <c r="F65" i="7"/>
  <c r="F66" i="7"/>
  <c r="F67" i="7"/>
  <c r="F68" i="7"/>
  <c r="O27" i="7"/>
  <c r="O34" i="7"/>
  <c r="N27" i="7"/>
  <c r="N34" i="7"/>
  <c r="G8" i="7"/>
  <c r="C8" i="8"/>
  <c r="D8" i="8" s="1"/>
  <c r="C11" i="8"/>
  <c r="D11" i="8"/>
  <c r="M27" i="7"/>
  <c r="M34" i="7"/>
  <c r="E74" i="7"/>
  <c r="Q27" i="7"/>
  <c r="Q34" i="7"/>
  <c r="I57" i="7"/>
  <c r="J57" i="7"/>
  <c r="K57" i="7"/>
  <c r="I58" i="7"/>
  <c r="J58" i="7"/>
  <c r="K58" i="7"/>
  <c r="I59" i="7"/>
  <c r="J59" i="7"/>
  <c r="K59" i="7"/>
  <c r="D2" i="8"/>
  <c r="D3" i="8"/>
  <c r="C2" i="8"/>
  <c r="C3" i="8"/>
  <c r="C5" i="8"/>
  <c r="C7" i="8"/>
  <c r="C10" i="8"/>
  <c r="D10" i="8" s="1"/>
  <c r="C4" i="8"/>
  <c r="D4" i="8" s="1"/>
  <c r="D5" i="8"/>
  <c r="D7" i="8"/>
  <c r="B7" i="8"/>
  <c r="I65" i="7"/>
  <c r="J65" i="7"/>
  <c r="K65" i="7"/>
  <c r="I66" i="7"/>
  <c r="J66" i="7"/>
  <c r="K66" i="7"/>
  <c r="I67" i="7"/>
  <c r="J67" i="7"/>
  <c r="K67" i="7"/>
  <c r="I68" i="7"/>
  <c r="J68" i="7"/>
  <c r="K68" i="7"/>
  <c r="I61" i="7"/>
  <c r="J61" i="7"/>
  <c r="K61" i="7"/>
  <c r="I62" i="7"/>
  <c r="J62" i="7"/>
  <c r="K62" i="7"/>
  <c r="I63" i="7"/>
  <c r="J63" i="7"/>
  <c r="K63" i="7"/>
  <c r="O21" i="7" l="1"/>
  <c r="P27" i="7"/>
  <c r="T27" i="7" s="1"/>
  <c r="P34" i="7"/>
  <c r="T34" i="7" s="1"/>
  <c r="S32" i="7"/>
  <c r="P21" i="7"/>
  <c r="T21" i="7" s="1"/>
  <c r="H74" i="7"/>
  <c r="Q55" i="7" l="1"/>
  <c r="L55" i="7" s="1"/>
  <c r="Q59" i="7"/>
  <c r="L59" i="7" s="1"/>
  <c r="Q63" i="7"/>
  <c r="L63" i="7" s="1"/>
  <c r="Q67" i="7"/>
  <c r="L67" i="7" s="1"/>
  <c r="Q24" i="7"/>
  <c r="L24" i="7" s="1"/>
  <c r="Q52" i="7"/>
  <c r="L52" i="7" s="1"/>
  <c r="Q56" i="7"/>
  <c r="L56" i="7" s="1"/>
  <c r="Q60" i="7"/>
  <c r="L60" i="7" s="1"/>
  <c r="Q64" i="7"/>
  <c r="L64" i="7" s="1"/>
  <c r="Q68" i="7"/>
  <c r="L68" i="7" s="1"/>
  <c r="Q23" i="7"/>
  <c r="L23" i="7" s="1"/>
  <c r="Q54" i="7"/>
  <c r="L54" i="7" s="1"/>
  <c r="Q58" i="7"/>
  <c r="L58" i="7" s="1"/>
  <c r="Q62" i="7"/>
  <c r="L62" i="7" s="1"/>
  <c r="Q66" i="7"/>
  <c r="L66" i="7" s="1"/>
  <c r="Q51" i="7"/>
  <c r="L51" i="7" s="1"/>
  <c r="Q53" i="7"/>
  <c r="L53" i="7" s="1"/>
  <c r="Q25" i="7"/>
  <c r="L25" i="7" s="1"/>
  <c r="Q65" i="7"/>
  <c r="L65" i="7" s="1"/>
  <c r="Q57" i="7"/>
  <c r="L57" i="7" s="1"/>
  <c r="Q61" i="7"/>
  <c r="L61" i="7" s="1"/>
  <c r="N51" i="7" l="1"/>
  <c r="O51" i="7"/>
  <c r="O60" i="7"/>
  <c r="N60" i="7"/>
  <c r="O23" i="7"/>
  <c r="N23" i="7"/>
  <c r="O63" i="7"/>
  <c r="N63" i="7"/>
  <c r="M63" i="7"/>
  <c r="O25" i="7"/>
  <c r="N25" i="7"/>
  <c r="O62" i="7"/>
  <c r="N62" i="7"/>
  <c r="M62" i="7"/>
  <c r="O68" i="7"/>
  <c r="N68" i="7"/>
  <c r="M68" i="7"/>
  <c r="N52" i="7"/>
  <c r="O52" i="7"/>
  <c r="O59" i="7"/>
  <c r="N59" i="7"/>
  <c r="M59" i="7"/>
  <c r="O57" i="7"/>
  <c r="N57" i="7"/>
  <c r="M57" i="7"/>
  <c r="O54" i="7"/>
  <c r="N54" i="7"/>
  <c r="O67" i="7"/>
  <c r="N67" i="7"/>
  <c r="M67" i="7"/>
  <c r="O65" i="7"/>
  <c r="N65" i="7"/>
  <c r="M65" i="7"/>
  <c r="O66" i="7"/>
  <c r="N66" i="7"/>
  <c r="M66" i="7"/>
  <c r="O56" i="7"/>
  <c r="N56" i="7"/>
  <c r="O61" i="7"/>
  <c r="N61" i="7"/>
  <c r="M61" i="7"/>
  <c r="O53" i="7"/>
  <c r="N53" i="7"/>
  <c r="O58" i="7"/>
  <c r="N58" i="7"/>
  <c r="M58" i="7"/>
  <c r="O64" i="7"/>
  <c r="N64" i="7"/>
  <c r="O24" i="7"/>
  <c r="N24" i="7"/>
  <c r="P24" i="7" s="1"/>
  <c r="T24" i="7" s="1"/>
  <c r="O55" i="7"/>
  <c r="N55" i="7"/>
  <c r="P58" i="7" l="1"/>
  <c r="T58" i="7" s="1"/>
  <c r="P67" i="7"/>
  <c r="T67" i="7" s="1"/>
  <c r="P59" i="7"/>
  <c r="T59" i="7" s="1"/>
  <c r="P62" i="7"/>
  <c r="T62" i="7" s="1"/>
  <c r="P51" i="7"/>
  <c r="T51" i="7" s="1"/>
  <c r="P55" i="7"/>
  <c r="T55" i="7" s="1"/>
  <c r="P64" i="7"/>
  <c r="T64" i="7" s="1"/>
  <c r="P61" i="7"/>
  <c r="T61" i="7" s="1"/>
  <c r="P65" i="7"/>
  <c r="T65" i="7" s="1"/>
  <c r="P57" i="7"/>
  <c r="T57" i="7" s="1"/>
  <c r="P68" i="7"/>
  <c r="T68" i="7" s="1"/>
  <c r="P63" i="7"/>
  <c r="T63" i="7" s="1"/>
  <c r="P60" i="7"/>
  <c r="T60" i="7" s="1"/>
  <c r="P52" i="7"/>
  <c r="T52" i="7" s="1"/>
  <c r="P53" i="7"/>
  <c r="T53" i="7" s="1"/>
  <c r="P66" i="7"/>
  <c r="T66" i="7" s="1"/>
  <c r="P54" i="7"/>
  <c r="T54" i="7" s="1"/>
  <c r="P25" i="7"/>
  <c r="T25" i="7" s="1"/>
  <c r="P56" i="7"/>
  <c r="T56" i="7" s="1"/>
  <c r="P23" i="7"/>
  <c r="T23" i="7" s="1"/>
  <c r="O4" i="6" l="1"/>
  <c r="N4" i="6"/>
  <c r="L13" i="7"/>
  <c r="L16" i="7"/>
  <c r="L18" i="7"/>
  <c r="L19" i="7"/>
  <c r="L29" i="7"/>
  <c r="L30" i="7"/>
  <c r="L31" i="7"/>
  <c r="L33" i="7"/>
  <c r="L36" i="7"/>
  <c r="L37" i="7"/>
  <c r="L38" i="7"/>
  <c r="L46" i="7"/>
  <c r="L47" i="7"/>
  <c r="L48" i="7"/>
  <c r="L49" i="7"/>
  <c r="L50" i="7"/>
  <c r="K85" i="6"/>
  <c r="K115" i="6"/>
  <c r="K31" i="6"/>
  <c r="K117" i="6"/>
  <c r="K141" i="6"/>
  <c r="K142" i="6"/>
  <c r="K143" i="6"/>
  <c r="K144" i="6"/>
  <c r="K75" i="6"/>
  <c r="K12" i="6"/>
  <c r="K64" i="6"/>
  <c r="K13" i="6"/>
  <c r="K10" i="6"/>
  <c r="K118" i="6"/>
  <c r="K11" i="6"/>
  <c r="K119" i="6"/>
  <c r="K14" i="6"/>
  <c r="K15" i="6"/>
  <c r="K16" i="6"/>
  <c r="K27" i="6"/>
  <c r="K28" i="6"/>
  <c r="K29" i="6"/>
  <c r="K106" i="6"/>
  <c r="K42" i="6"/>
  <c r="K17" i="6"/>
  <c r="K76" i="6"/>
  <c r="K87" i="6"/>
  <c r="K56" i="6"/>
  <c r="K57" i="6"/>
  <c r="K58" i="6"/>
  <c r="K32" i="6"/>
  <c r="K33" i="6"/>
  <c r="K18" i="6"/>
  <c r="K19" i="6"/>
  <c r="K145" i="6"/>
  <c r="K146" i="6"/>
  <c r="K120" i="6"/>
  <c r="K34" i="6"/>
  <c r="K147" i="6"/>
  <c r="K65" i="6"/>
  <c r="K121" i="6"/>
  <c r="K122" i="6"/>
  <c r="K20" i="6"/>
  <c r="K21" i="6"/>
  <c r="K107" i="6"/>
  <c r="K22" i="6"/>
  <c r="K43" i="6"/>
  <c r="K77" i="6"/>
  <c r="K78" i="6"/>
  <c r="K148" i="6"/>
  <c r="K149" i="6"/>
  <c r="K150" i="6"/>
  <c r="K151" i="6"/>
  <c r="K123" i="6"/>
  <c r="K124" i="6"/>
  <c r="K125" i="6"/>
  <c r="K47" i="6"/>
  <c r="K48" i="6"/>
  <c r="K126" i="6"/>
  <c r="K49" i="6"/>
  <c r="K30" i="6"/>
  <c r="K54" i="6"/>
  <c r="K152" i="6"/>
  <c r="K153" i="6"/>
  <c r="K127" i="6"/>
  <c r="K35" i="6"/>
  <c r="K79" i="6"/>
  <c r="K128" i="6"/>
  <c r="K59" i="6"/>
  <c r="K60" i="6"/>
  <c r="K61" i="6"/>
  <c r="K108" i="6"/>
  <c r="K109" i="6"/>
  <c r="K66" i="6"/>
  <c r="K80" i="6"/>
  <c r="K82" i="6"/>
  <c r="K36" i="6"/>
  <c r="K90" i="6"/>
  <c r="K86" i="6"/>
  <c r="K67" i="6"/>
  <c r="K99" i="6"/>
  <c r="K37" i="6"/>
  <c r="K154" i="6"/>
  <c r="K155" i="6"/>
  <c r="K156" i="6"/>
  <c r="K157" i="6"/>
  <c r="K158" i="6"/>
  <c r="K89" i="6"/>
  <c r="K38" i="6"/>
  <c r="K91" i="6"/>
  <c r="K96" i="6"/>
  <c r="K159" i="6"/>
  <c r="K39" i="6"/>
  <c r="K129" i="6"/>
  <c r="K98" i="6"/>
  <c r="K68" i="6"/>
  <c r="K69" i="6"/>
  <c r="K100" i="6"/>
  <c r="K70" i="6"/>
  <c r="K71" i="6"/>
  <c r="K104" i="6"/>
  <c r="K50" i="6"/>
  <c r="K72" i="6"/>
  <c r="K130" i="6"/>
  <c r="K131" i="6"/>
  <c r="K110" i="6"/>
  <c r="K105" i="6"/>
  <c r="K40" i="6"/>
  <c r="K97" i="6"/>
  <c r="K132" i="6"/>
  <c r="K111" i="6"/>
  <c r="K112" i="6"/>
  <c r="K23" i="6"/>
  <c r="K101" i="6"/>
  <c r="K113" i="6"/>
  <c r="K114" i="6"/>
  <c r="K88" i="6"/>
  <c r="K73" i="6"/>
  <c r="K55" i="6"/>
  <c r="K24" i="6"/>
  <c r="K116" i="6"/>
  <c r="K102" i="6"/>
  <c r="K44" i="6"/>
  <c r="K133" i="6"/>
  <c r="K134" i="6"/>
  <c r="K92" i="6"/>
  <c r="K160" i="6"/>
  <c r="K135" i="6"/>
  <c r="K136" i="6"/>
  <c r="K137" i="6"/>
  <c r="K140" i="6"/>
  <c r="K161" i="6"/>
  <c r="K93" i="6"/>
  <c r="K83" i="6"/>
  <c r="K51" i="6"/>
  <c r="K138" i="6"/>
  <c r="K62" i="6"/>
  <c r="K63" i="6"/>
  <c r="K139" i="6"/>
  <c r="K162" i="6"/>
  <c r="K45" i="6"/>
  <c r="K84" i="6"/>
  <c r="K163" i="6"/>
  <c r="K164" i="6"/>
  <c r="K74" i="6"/>
  <c r="K52" i="6"/>
  <c r="K46" i="6"/>
  <c r="K165" i="6"/>
  <c r="K166" i="6"/>
  <c r="K94" i="6"/>
  <c r="K81" i="6"/>
  <c r="K95" i="6"/>
  <c r="K53" i="6"/>
  <c r="K25" i="6"/>
  <c r="K103" i="6"/>
  <c r="K26" i="6"/>
  <c r="K167" i="6"/>
  <c r="N49" i="7" l="1"/>
  <c r="O49" i="7"/>
  <c r="O18" i="7"/>
  <c r="N18" i="7"/>
  <c r="N48" i="7"/>
  <c r="O48" i="7"/>
  <c r="N37" i="7"/>
  <c r="O37" i="7"/>
  <c r="N16" i="7"/>
  <c r="O16" i="7"/>
  <c r="O47" i="7"/>
  <c r="N47" i="7"/>
  <c r="O36" i="7"/>
  <c r="N36" i="7"/>
  <c r="P36" i="7" s="1"/>
  <c r="T36" i="7" s="1"/>
  <c r="N29" i="7"/>
  <c r="O29" i="7"/>
  <c r="O13" i="7"/>
  <c r="N13" i="7"/>
  <c r="P13" i="7" s="1"/>
  <c r="T13" i="7" s="1"/>
  <c r="O38" i="7"/>
  <c r="N38" i="7"/>
  <c r="P38" i="7" s="1"/>
  <c r="T38" i="7" s="1"/>
  <c r="O31" i="7"/>
  <c r="N31" i="7"/>
  <c r="P31" i="7" s="1"/>
  <c r="T31" i="7" s="1"/>
  <c r="O30" i="7"/>
  <c r="N30" i="7"/>
  <c r="P30" i="7" s="1"/>
  <c r="T30" i="7" s="1"/>
  <c r="O50" i="7"/>
  <c r="N50" i="7"/>
  <c r="P50" i="7" s="1"/>
  <c r="T50" i="7" s="1"/>
  <c r="O46" i="7"/>
  <c r="N46" i="7"/>
  <c r="P46" i="7" s="1"/>
  <c r="T46" i="7" s="1"/>
  <c r="N33" i="7"/>
  <c r="O33" i="7"/>
  <c r="O19" i="7"/>
  <c r="N19" i="7"/>
  <c r="P19" i="7" s="1"/>
  <c r="T19" i="7" s="1"/>
  <c r="Q48" i="7"/>
  <c r="M48" i="7"/>
  <c r="Q37" i="7"/>
  <c r="M37" i="7"/>
  <c r="Q30" i="7"/>
  <c r="M30" i="7"/>
  <c r="Q18" i="7"/>
  <c r="M18" i="7"/>
  <c r="Q47" i="7"/>
  <c r="M47" i="7"/>
  <c r="Q36" i="7"/>
  <c r="M36" i="7"/>
  <c r="Q29" i="7"/>
  <c r="M29" i="7"/>
  <c r="Q16" i="7"/>
  <c r="M16" i="7"/>
  <c r="Q50" i="7"/>
  <c r="M50" i="7"/>
  <c r="Q46" i="7"/>
  <c r="M46" i="7"/>
  <c r="Q33" i="7"/>
  <c r="M33" i="7"/>
  <c r="Q13" i="7"/>
  <c r="M13" i="7"/>
  <c r="Q49" i="7"/>
  <c r="M49" i="7"/>
  <c r="Q38" i="7"/>
  <c r="M38" i="7"/>
  <c r="Q31" i="7"/>
  <c r="M31" i="7"/>
  <c r="Q19" i="7"/>
  <c r="M19" i="7"/>
  <c r="AC27" i="7"/>
  <c r="K12" i="7"/>
  <c r="L12" i="7" s="1"/>
  <c r="K14" i="7"/>
  <c r="L14" i="7" s="1"/>
  <c r="K15" i="7"/>
  <c r="L15" i="7" s="1"/>
  <c r="K17" i="7"/>
  <c r="L17" i="7" s="1"/>
  <c r="K20" i="7"/>
  <c r="L20" i="7" s="1"/>
  <c r="K21" i="7"/>
  <c r="K22" i="7"/>
  <c r="L22" i="7" s="1"/>
  <c r="K23" i="7"/>
  <c r="K24" i="7"/>
  <c r="K25" i="7"/>
  <c r="K26" i="7"/>
  <c r="L26" i="7" s="1"/>
  <c r="K27" i="7"/>
  <c r="K28" i="7"/>
  <c r="L28" i="7" s="1"/>
  <c r="K32" i="7"/>
  <c r="L32" i="7" s="1"/>
  <c r="K34" i="7"/>
  <c r="K35" i="7"/>
  <c r="L35" i="7" s="1"/>
  <c r="K39" i="7"/>
  <c r="L39" i="7" s="1"/>
  <c r="K40" i="7"/>
  <c r="L40" i="7" s="1"/>
  <c r="K41" i="7"/>
  <c r="L41" i="7" s="1"/>
  <c r="K42" i="7"/>
  <c r="L42" i="7" s="1"/>
  <c r="K43" i="7"/>
  <c r="L43" i="7" s="1"/>
  <c r="K44" i="7"/>
  <c r="L44" i="7" s="1"/>
  <c r="K45" i="7"/>
  <c r="L45" i="7" s="1"/>
  <c r="K51" i="7"/>
  <c r="K52" i="7"/>
  <c r="K53" i="7"/>
  <c r="K54" i="7"/>
  <c r="K55" i="7"/>
  <c r="K56" i="7"/>
  <c r="K60" i="7"/>
  <c r="K64" i="7"/>
  <c r="N50" i="6"/>
  <c r="J12" i="7"/>
  <c r="J13" i="7"/>
  <c r="J14" i="7"/>
  <c r="J15" i="7"/>
  <c r="J16" i="7"/>
  <c r="J17" i="7"/>
  <c r="J18" i="7"/>
  <c r="J19" i="7"/>
  <c r="J20" i="7"/>
  <c r="J21" i="7"/>
  <c r="J22" i="7"/>
  <c r="J23" i="7"/>
  <c r="J24" i="7"/>
  <c r="J25" i="7"/>
  <c r="J26" i="7"/>
  <c r="J27" i="7"/>
  <c r="J28" i="7"/>
  <c r="J29" i="7"/>
  <c r="J30" i="7"/>
  <c r="J31" i="7"/>
  <c r="J32" i="7"/>
  <c r="J33" i="7"/>
  <c r="J34" i="7"/>
  <c r="J35" i="7"/>
  <c r="J36" i="7"/>
  <c r="J37" i="7"/>
  <c r="J38" i="7"/>
  <c r="J39" i="7"/>
  <c r="J40" i="7"/>
  <c r="J41" i="7"/>
  <c r="J42" i="7"/>
  <c r="J43" i="7"/>
  <c r="J44" i="7"/>
  <c r="J45" i="7"/>
  <c r="J46" i="7"/>
  <c r="J47" i="7"/>
  <c r="J48" i="7"/>
  <c r="J49" i="7"/>
  <c r="J50" i="7"/>
  <c r="J51" i="7"/>
  <c r="J52" i="7"/>
  <c r="J53" i="7"/>
  <c r="J54" i="7"/>
  <c r="J55" i="7"/>
  <c r="J56" i="7"/>
  <c r="J60" i="7"/>
  <c r="J64" i="7"/>
  <c r="N106" i="6"/>
  <c r="I51" i="7"/>
  <c r="I52" i="7"/>
  <c r="I53" i="7"/>
  <c r="I54" i="7"/>
  <c r="I64" i="7"/>
  <c r="I60" i="7"/>
  <c r="I56" i="7"/>
  <c r="I55" i="7"/>
  <c r="P47" i="7" l="1"/>
  <c r="T47" i="7" s="1"/>
  <c r="P18" i="7"/>
  <c r="T18" i="7" s="1"/>
  <c r="P29" i="7"/>
  <c r="T29" i="7" s="1"/>
  <c r="P37" i="7"/>
  <c r="T37" i="7" s="1"/>
  <c r="P33" i="7"/>
  <c r="T33" i="7" s="1"/>
  <c r="P16" i="7"/>
  <c r="T16" i="7" s="1"/>
  <c r="P48" i="7"/>
  <c r="T48" i="7" s="1"/>
  <c r="P49" i="7"/>
  <c r="T49" i="7" s="1"/>
  <c r="O35" i="7"/>
  <c r="N35" i="7"/>
  <c r="O14" i="7"/>
  <c r="N14" i="7"/>
  <c r="N41" i="7"/>
  <c r="O41" i="7"/>
  <c r="N20" i="7"/>
  <c r="O20" i="7"/>
  <c r="O44" i="7"/>
  <c r="N44" i="7"/>
  <c r="P44" i="7" s="1"/>
  <c r="T44" i="7" s="1"/>
  <c r="O40" i="7"/>
  <c r="N40" i="7"/>
  <c r="O32" i="7"/>
  <c r="N32" i="7"/>
  <c r="O17" i="7"/>
  <c r="N17" i="7"/>
  <c r="P17" i="7" s="1"/>
  <c r="T17" i="7" s="1"/>
  <c r="O42" i="7"/>
  <c r="N42" i="7"/>
  <c r="P42" i="7" s="1"/>
  <c r="T42" i="7" s="1"/>
  <c r="N45" i="7"/>
  <c r="O45" i="7"/>
  <c r="N12" i="7"/>
  <c r="O12" i="7"/>
  <c r="O43" i="7"/>
  <c r="N43" i="7"/>
  <c r="P43" i="7" s="1"/>
  <c r="T43" i="7" s="1"/>
  <c r="O39" i="7"/>
  <c r="N39" i="7"/>
  <c r="P39" i="7" s="1"/>
  <c r="T39" i="7" s="1"/>
  <c r="O28" i="7"/>
  <c r="N28" i="7"/>
  <c r="P28" i="7" s="1"/>
  <c r="T28" i="7" s="1"/>
  <c r="O26" i="7"/>
  <c r="N26" i="7"/>
  <c r="P26" i="7" s="1"/>
  <c r="T26" i="7" s="1"/>
  <c r="O22" i="7"/>
  <c r="N22" i="7"/>
  <c r="P22" i="7" s="1"/>
  <c r="T22" i="7" s="1"/>
  <c r="O15" i="7"/>
  <c r="N15" i="7"/>
  <c r="P15" i="7" s="1"/>
  <c r="T15" i="7" s="1"/>
  <c r="Q43" i="7"/>
  <c r="M43" i="7"/>
  <c r="Q28" i="7"/>
  <c r="M28" i="7"/>
  <c r="Q15" i="7"/>
  <c r="M15" i="7"/>
  <c r="M55" i="7"/>
  <c r="M51" i="7"/>
  <c r="Q42" i="7"/>
  <c r="M42" i="7"/>
  <c r="Q35" i="7"/>
  <c r="M35" i="7"/>
  <c r="M25" i="7"/>
  <c r="Q21" i="7"/>
  <c r="M21" i="7"/>
  <c r="Q14" i="7"/>
  <c r="M14" i="7"/>
  <c r="M52" i="7"/>
  <c r="Q26" i="7"/>
  <c r="M26" i="7"/>
  <c r="M64" i="7"/>
  <c r="M54" i="7"/>
  <c r="Q45" i="7"/>
  <c r="M45" i="7"/>
  <c r="Q41" i="7"/>
  <c r="M41" i="7"/>
  <c r="M24" i="7"/>
  <c r="Q20" i="7"/>
  <c r="M20" i="7"/>
  <c r="Q12" i="7"/>
  <c r="M12" i="7"/>
  <c r="M56" i="7"/>
  <c r="Q39" i="7"/>
  <c r="M39" i="7"/>
  <c r="Q22" i="7"/>
  <c r="M22" i="7"/>
  <c r="M60" i="7"/>
  <c r="M53" i="7"/>
  <c r="Q44" i="7"/>
  <c r="M44" i="7"/>
  <c r="Q40" i="7"/>
  <c r="M40" i="7"/>
  <c r="Q32" i="7"/>
  <c r="M32" i="7"/>
  <c r="M23" i="7"/>
  <c r="Q17" i="7"/>
  <c r="M17" i="7"/>
  <c r="L73" i="7"/>
  <c r="I50" i="7"/>
  <c r="I49" i="7"/>
  <c r="I48" i="7"/>
  <c r="I47" i="7"/>
  <c r="I46" i="7"/>
  <c r="I45" i="7"/>
  <c r="I44" i="7"/>
  <c r="I43" i="7"/>
  <c r="I42" i="7"/>
  <c r="I41" i="7"/>
  <c r="I40" i="7"/>
  <c r="I39" i="7"/>
  <c r="I38" i="7"/>
  <c r="I37" i="7"/>
  <c r="I36" i="7"/>
  <c r="I35" i="7"/>
  <c r="I34" i="7"/>
  <c r="I33" i="7"/>
  <c r="I32" i="7"/>
  <c r="I31" i="7"/>
  <c r="I30" i="7"/>
  <c r="I29" i="7"/>
  <c r="I28" i="7"/>
  <c r="I27" i="7"/>
  <c r="I26" i="7"/>
  <c r="I25" i="7"/>
  <c r="I24" i="7"/>
  <c r="I23" i="7"/>
  <c r="I22" i="7"/>
  <c r="I21" i="7"/>
  <c r="I20" i="7"/>
  <c r="I19" i="7"/>
  <c r="I18" i="7"/>
  <c r="I17" i="7"/>
  <c r="I16" i="7"/>
  <c r="I15" i="7"/>
  <c r="I14" i="7"/>
  <c r="I13" i="7"/>
  <c r="I12" i="7"/>
  <c r="D170" i="6"/>
  <c r="D171" i="6"/>
  <c r="D172" i="6"/>
  <c r="D173" i="6"/>
  <c r="D174" i="6"/>
  <c r="D175" i="6"/>
  <c r="D176" i="6"/>
  <c r="D177" i="6"/>
  <c r="D178" i="6"/>
  <c r="D179" i="6"/>
  <c r="D180" i="6"/>
  <c r="D181" i="6"/>
  <c r="D182" i="6"/>
  <c r="D183" i="6"/>
  <c r="D184" i="6"/>
  <c r="D185" i="6"/>
  <c r="D186" i="6"/>
  <c r="D187" i="6"/>
  <c r="D188" i="6"/>
  <c r="D189" i="6"/>
  <c r="D190" i="6"/>
  <c r="D191" i="6"/>
  <c r="D192" i="6"/>
  <c r="D193" i="6"/>
  <c r="D194" i="6"/>
  <c r="D195" i="6"/>
  <c r="D196" i="6"/>
  <c r="D197" i="6"/>
  <c r="D198" i="6"/>
  <c r="D199" i="6"/>
  <c r="D200" i="6"/>
  <c r="D201" i="6"/>
  <c r="D202" i="6"/>
  <c r="D203" i="6"/>
  <c r="D204" i="6"/>
  <c r="D205" i="6"/>
  <c r="D206" i="6"/>
  <c r="D207" i="6"/>
  <c r="D208" i="6"/>
  <c r="D209" i="6"/>
  <c r="D210" i="6"/>
  <c r="D211" i="6"/>
  <c r="D212" i="6"/>
  <c r="D213" i="6"/>
  <c r="D214" i="6"/>
  <c r="D215" i="6"/>
  <c r="D216" i="6"/>
  <c r="D217" i="6"/>
  <c r="D218" i="6"/>
  <c r="D219" i="6"/>
  <c r="D220" i="6"/>
  <c r="D221" i="6"/>
  <c r="D222" i="6"/>
  <c r="D223" i="6"/>
  <c r="D224" i="6"/>
  <c r="D225" i="6"/>
  <c r="D226" i="6"/>
  <c r="D227" i="6"/>
  <c r="D228" i="6"/>
  <c r="D229" i="6"/>
  <c r="D230" i="6"/>
  <c r="D231" i="6"/>
  <c r="D232" i="6"/>
  <c r="D233" i="6"/>
  <c r="D234" i="6"/>
  <c r="D235" i="6"/>
  <c r="D169" i="6"/>
  <c r="P20" i="7" l="1"/>
  <c r="T20" i="7" s="1"/>
  <c r="P12" i="7"/>
  <c r="T12" i="7" s="1"/>
  <c r="P41" i="7"/>
  <c r="T41" i="7" s="1"/>
  <c r="P40" i="7"/>
  <c r="T40" i="7" s="1"/>
  <c r="P45" i="7"/>
  <c r="T45" i="7" s="1"/>
  <c r="M73" i="7"/>
  <c r="N73" i="7"/>
  <c r="AC16" i="7"/>
  <c r="AD16" i="7" s="1"/>
  <c r="AF16" i="7" s="1"/>
  <c r="AC18" i="7"/>
  <c r="AD18" i="7" s="1"/>
  <c r="AC30" i="7"/>
  <c r="AD31" i="7" s="1"/>
  <c r="S14" i="7" l="1"/>
  <c r="AD50" i="7"/>
  <c r="AE50" i="7" s="1"/>
  <c r="AE16" i="7"/>
  <c r="AD19" i="7"/>
  <c r="AF19" i="7" s="1"/>
  <c r="AF31" i="7"/>
  <c r="AE31" i="7"/>
  <c r="AD30" i="7"/>
  <c r="AF18" i="7"/>
  <c r="AE18" i="7"/>
  <c r="AF50" i="7" l="1"/>
  <c r="AE19" i="7"/>
  <c r="AF30" i="7"/>
  <c r="AE30" i="7"/>
  <c r="S66" i="7"/>
  <c r="S68" i="7"/>
  <c r="S65" i="7"/>
  <c r="S62" i="7"/>
  <c r="S59" i="7"/>
  <c r="S49" i="7"/>
  <c r="S33" i="7"/>
  <c r="S18" i="7"/>
  <c r="S37" i="7"/>
  <c r="S29" i="7"/>
  <c r="S19" i="7"/>
  <c r="S16" i="7"/>
  <c r="S38" i="7"/>
  <c r="S13" i="7"/>
  <c r="S40" i="7"/>
  <c r="S39" i="7"/>
  <c r="S43" i="7"/>
  <c r="S21" i="7"/>
  <c r="S24" i="7"/>
  <c r="S60" i="7"/>
  <c r="S54" i="7"/>
  <c r="S34" i="7"/>
  <c r="S64" i="7"/>
  <c r="S52" i="7"/>
  <c r="S25" i="7"/>
  <c r="S42" i="7"/>
  <c r="S17" i="7"/>
  <c r="S26" i="7"/>
  <c r="S20" i="7"/>
  <c r="R20" i="7"/>
  <c r="R61" i="7"/>
  <c r="S61" i="7"/>
  <c r="S63" i="7"/>
  <c r="S57" i="7"/>
  <c r="R57" i="7"/>
  <c r="S67" i="7"/>
  <c r="R49" i="7"/>
  <c r="R50" i="7"/>
  <c r="S50" i="7"/>
  <c r="R18" i="7"/>
  <c r="R36" i="7"/>
  <c r="S36" i="7"/>
  <c r="S48" i="7"/>
  <c r="R16" i="7"/>
  <c r="R30" i="7"/>
  <c r="S30" i="7"/>
  <c r="S44" i="7"/>
  <c r="R15" i="7"/>
  <c r="S15" i="7"/>
  <c r="S22" i="7"/>
  <c r="R21" i="7"/>
  <c r="S53" i="7"/>
  <c r="R53" i="7"/>
  <c r="R60" i="7"/>
  <c r="S28" i="7"/>
  <c r="R28" i="7"/>
  <c r="R34" i="7"/>
  <c r="R51" i="7"/>
  <c r="S51" i="7"/>
  <c r="R52" i="7"/>
  <c r="S55" i="7"/>
  <c r="R23" i="7"/>
  <c r="S23" i="7"/>
  <c r="R42" i="7"/>
  <c r="R41" i="7"/>
  <c r="S41" i="7"/>
  <c r="R26" i="7"/>
  <c r="R66" i="7"/>
  <c r="R65" i="7"/>
  <c r="R59" i="7"/>
  <c r="S58" i="7"/>
  <c r="R58" i="7"/>
  <c r="S46" i="7"/>
  <c r="R33" i="7"/>
  <c r="S27" i="7"/>
  <c r="R37" i="7"/>
  <c r="R19" i="7"/>
  <c r="S47" i="7"/>
  <c r="R47" i="7"/>
  <c r="S31" i="7"/>
  <c r="R38" i="7"/>
  <c r="R40" i="7"/>
  <c r="R43" i="7"/>
  <c r="S35" i="7"/>
  <c r="S45" i="7"/>
  <c r="R24" i="7"/>
  <c r="S56" i="7"/>
  <c r="R54" i="7"/>
  <c r="P73" i="7"/>
  <c r="R12" i="7"/>
  <c r="S12" i="7"/>
  <c r="R64" i="7"/>
  <c r="R25" i="7"/>
  <c r="R17" i="7"/>
  <c r="R55" i="7"/>
  <c r="R68" i="7"/>
  <c r="R62" i="7"/>
  <c r="R29" i="7"/>
  <c r="R13" i="7"/>
  <c r="R39" i="7"/>
  <c r="R63" i="7"/>
  <c r="R67" i="7"/>
  <c r="R46" i="7"/>
  <c r="R27" i="7"/>
  <c r="R48" i="7"/>
  <c r="R31" i="7"/>
  <c r="R44" i="7"/>
  <c r="R22" i="7"/>
  <c r="R45" i="7"/>
  <c r="R56" i="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Query - Export_Output" description="Connection to the 'Export_Output' query in the workbook." type="5" refreshedVersion="6" background="1" saveData="1">
    <dbPr connection="Provider=Microsoft.Mashup.OleDb.1;Data Source=$Workbook$;Location=Export_Output;Extended Properties=&quot;&quot;" command="SELECT * FROM [Export_Output]"/>
  </connection>
  <connection id="2" xr16:uid="{00000000-0015-0000-FFFF-FFFF01000000}" keepAlive="1" name="Query - Export_Output1" description="Connection to the 'Export_Output1' query in the workbook." type="5" refreshedVersion="6" background="1" saveData="1">
    <dbPr connection="Provider=Microsoft.Mashup.OleDb.1;Data Source=$Workbook$;Location=Export_Output1;Extended Properties=&quot;&quot;" command="SELECT * FROM [Export_Output1]"/>
  </connection>
</connections>
</file>

<file path=xl/sharedStrings.xml><?xml version="1.0" encoding="utf-8"?>
<sst xmlns="http://schemas.openxmlformats.org/spreadsheetml/2006/main" count="1946" uniqueCount="626">
  <si>
    <t>CAMPOS</t>
  </si>
  <si>
    <t>SUB-TOTAL_EP_PETROECUADOR_(I)</t>
  </si>
  <si>
    <t>Lago_Agrio</t>
  </si>
  <si>
    <t>Sacha</t>
  </si>
  <si>
    <t>-</t>
  </si>
  <si>
    <t>Shushufindi</t>
  </si>
  <si>
    <t>Drago_(p)</t>
  </si>
  <si>
    <t>Condorazo</t>
  </si>
  <si>
    <t>Cobra</t>
  </si>
  <si>
    <t>Aguarico</t>
  </si>
  <si>
    <t>Auca_y_Auca_Sur</t>
  </si>
  <si>
    <t>Atacapi</t>
  </si>
  <si>
    <t>Parahuacu</t>
  </si>
  <si>
    <t>Yuca</t>
  </si>
  <si>
    <t>Yulebra</t>
  </si>
  <si>
    <t>Culebra</t>
  </si>
  <si>
    <t>Cononaco</t>
  </si>
  <si>
    <t>Guanta</t>
  </si>
  <si>
    <t>Anaconda</t>
  </si>
  <si>
    <t>Shuara</t>
  </si>
  <si>
    <t>Shushuqui</t>
  </si>
  <si>
    <t>Secoya</t>
  </si>
  <si>
    <t>Pichincha</t>
  </si>
  <si>
    <t>Tetete</t>
  </si>
  <si>
    <t>Araza_(o)</t>
  </si>
  <si>
    <t>Cuyabeno</t>
  </si>
  <si>
    <t>Sansahuari</t>
  </si>
  <si>
    <t>Pucuna_(i)</t>
  </si>
  <si>
    <t>V.H.R.</t>
  </si>
  <si>
    <t>Frontera</t>
  </si>
  <si>
    <t>Tapi</t>
  </si>
  <si>
    <t>Rumiyacu</t>
  </si>
  <si>
    <t>Tipishca-Huaico-Blanca-Vinita_(Bloque_27)_(j)</t>
  </si>
  <si>
    <t>BLOQUE_1</t>
  </si>
  <si>
    <t> </t>
  </si>
  <si>
    <t>Pacoa_(q)</t>
  </si>
  <si>
    <t>SUBSIDIARIA_RIO_NAPO</t>
  </si>
  <si>
    <t>Sacha_(k)</t>
  </si>
  <si>
    <t>SUBTOTAL_(RIO_NAPO+BLQ.1)</t>
  </si>
  <si>
    <t>TOTAL_EP_PETROECUADOR</t>
  </si>
  <si>
    <t>PETROAMAZONAS_EP_(EX-BLOQUE_15)_(l)</t>
  </si>
  <si>
    <t>Bloq_15:_Conc/Ind/Ita/Jiv/Lag/Pak_S/Limonc/EdYuturi/Yanaquin/_(h)</t>
  </si>
  <si>
    <t>Pañacocha</t>
  </si>
  <si>
    <t>Eden_Yuturi</t>
  </si>
  <si>
    <t>Bloque_7-21_y_Coca_Payamino_(m)</t>
  </si>
  <si>
    <t>Bloque_18_(Pata)_y_Palo_Azul_(n)</t>
  </si>
  <si>
    <t>EP_PETROECUADOR_+_BLOQUE_15</t>
  </si>
  <si>
    <t>Total_Compañías</t>
  </si>
  <si>
    <t>TOTAL_NACIONAL</t>
  </si>
  <si>
    <t>Producción_Promedio/Día</t>
  </si>
  <si>
    <t>Exploration and Production management operates until 2012 in five areas</t>
  </si>
  <si>
    <t>Lago Agrio.- Located in the province of Sucumbíos comprises the fields</t>
  </si>
  <si>
    <t>Lago Agrio</t>
  </si>
  <si>
    <t>Libertador.- It is located in the province of Sucumbíos, maintains the fields</t>
  </si>
  <si>
    <t>Araza</t>
  </si>
  <si>
    <t>Cuyabeno.- It is located in the province of Sucumbíos, and is made up of fields</t>
  </si>
  <si>
    <t>Victor Hugo Rurales (VHR)</t>
  </si>
  <si>
    <t>Blanca</t>
  </si>
  <si>
    <t>Tipishca</t>
  </si>
  <si>
    <t>Huaico</t>
  </si>
  <si>
    <t>Vinita</t>
  </si>
  <si>
    <t>Drago</t>
  </si>
  <si>
    <t>Auca.- Located in the provinces of Napo, Orellana and Pastaza. It has the following fields:</t>
  </si>
  <si>
    <t>Auca and Auca Sur</t>
  </si>
  <si>
    <t>SOURCE</t>
  </si>
  <si>
    <t>http://www.eppetroecuador.ec/wp-content/uploads/downloads/2015/03/40-A%C3%B1os-Construyendo-el-Desarrollo-del-Pa%C3%ADs.pdf</t>
  </si>
  <si>
    <t>Also RIO NAPO/SASHA</t>
  </si>
  <si>
    <t>Shushufindi Located in the province of Sucumbíos, it possesses the fields</t>
  </si>
  <si>
    <t>Blocks 7-21 and Coca Payamino; Block 18 and field Palo Azul went to Petroamazonas 2010</t>
  </si>
  <si>
    <t>Pucuno and Pacoa stopped 2011/2012 but are areas</t>
  </si>
  <si>
    <t>CAMPOS_Y_COMPAÑÍAS</t>
  </si>
  <si>
    <t>PRESTACION_DE_SERVICIOS</t>
  </si>
  <si>
    <t>AGIP_OIL:_Blq_10_Villano(Ex-Arco)</t>
  </si>
  <si>
    <t>SIPEC_(ENAP)</t>
  </si>
  <si>
    <t>Mauro_Davalos,_Paraiso,_Biguno,_Huachito</t>
  </si>
  <si>
    <t>REPSOL_YPF</t>
  </si>
  <si>
    <t>Bogui-Capirón,_Bloque_16,_TIVACUNO</t>
  </si>
  <si>
    <t>ANDES_PETROLEUM_(EX_AEC)</t>
  </si>
  <si>
    <t>Fanny_18_B,_Mariann_4A,_Tarapoa</t>
  </si>
  <si>
    <t>PETROORIENTAL_(EX_ENCAN_ECUADOR)</t>
  </si>
  <si>
    <t>Bloque_14_Y_17</t>
  </si>
  <si>
    <t>PACIFIC_PETROL_(EX-Espol)</t>
  </si>
  <si>
    <t>EX-CAMPOS_MARGINALES</t>
  </si>
  <si>
    <t>Tecpecuador:_Bermejo</t>
  </si>
  <si>
    <t>Petrosud:_Pindo,Palanda,_Yuca_Sur,_Primavera</t>
  </si>
  <si>
    <t>Petrobell:_Tigüino</t>
  </si>
  <si>
    <t>Suelopetrol:_Pucuna</t>
  </si>
  <si>
    <t>Pegaso:_Puma_Oriente</t>
  </si>
  <si>
    <t>SIPETROL_(ENAP)</t>
  </si>
  <si>
    <t>Mauro_Dávalos</t>
  </si>
  <si>
    <t>Paraiso</t>
  </si>
  <si>
    <t>Biguno</t>
  </si>
  <si>
    <t>Huachito</t>
  </si>
  <si>
    <t>PARTICIPACIÓN</t>
  </si>
  <si>
    <t>REPSOL-YPF</t>
  </si>
  <si>
    <t>Bloque_16:_Amo,_Dabo,_Daimi,_Ginta,_Iro,_Wati</t>
  </si>
  <si>
    <t>ANDES_PETROLEUM_(Ex._AEC)</t>
  </si>
  <si>
    <t>Fanny_18_B</t>
  </si>
  <si>
    <t>Mariann,Mariann_4A</t>
  </si>
  <si>
    <t>Alice,_Chorongo,_Dorine,_Mahogany,_Shirley,_Sonia</t>
  </si>
  <si>
    <t>CITY_ORIENTE:_Blanca,_Tipishca,_Huaico,_Vinita_(Bloque_27)_(n)</t>
  </si>
  <si>
    <t>PETROORIENTAL_(Ex.Encan)</t>
  </si>
  <si>
    <t>Bloque_14:_Kupi,_Sunka,_Wanke,_Nantu</t>
  </si>
  <si>
    <t>Bloque_17:_Hormiguero,_Hormiguero_Sur</t>
  </si>
  <si>
    <t>Pacoa</t>
  </si>
  <si>
    <t>PERENCO</t>
  </si>
  <si>
    <t>Coca/Payamino</t>
  </si>
  <si>
    <t>Bloque_7:_Gacela,_Jaguar,_Lobo,_Mono,Oso</t>
  </si>
  <si>
    <t>Yuralpa</t>
  </si>
  <si>
    <t>CNPC_Bloque</t>
  </si>
  <si>
    <t>ECUADORTLC_Blq_18_(Ex-Cayman)</t>
  </si>
  <si>
    <t>Pata</t>
  </si>
  <si>
    <t>Pata_Azul</t>
  </si>
  <si>
    <t>REPSOL-YPF:_Tivacuno,_Tivacuno_Suroeste</t>
  </si>
  <si>
    <t>PACIFIC_PETROL_(EXESPOL)</t>
  </si>
  <si>
    <t>CAMPOS_MARGINALES</t>
  </si>
  <si>
    <t>Tecpecuador:_Bermejo_Norte,_Bermejo_Sur,_El_Rayo</t>
  </si>
  <si>
    <t>Petrolamerec_S.A:_Pindo</t>
  </si>
  <si>
    <t>Amazonas:_Pucuna_(o)</t>
  </si>
  <si>
    <t>Puma_Oriente</t>
  </si>
  <si>
    <t>TOTAL_COMPAÑÍAS</t>
  </si>
  <si>
    <t>Promedio_día_calendario</t>
  </si>
  <si>
    <t>H) It includes block 15 that as of May of 2006 happened to be operated by PETROPRODUCTION by expiration between the State and the Western Company</t>
  </si>
  <si>
    <t> I) Pucuna Field becomes Marginal Field in the month of April / 08</t>
  </si>
  <si>
    <t> J) Block 27 is operated by Petroproducción due to the termination of the Participation Agreement between City Oriente and El Estado</t>
  </si>
  <si>
    <t> K) Campo Sacha will be operated by Rio Napo as of November 3, 2009</t>
  </si>
  <si>
    <t> L) As of April 6, 2010, by executive decree Petroecuador became Petroecuador EP and Petroamazonas became Petroamazonas EP</t>
  </si>
  <si>
    <t> M) As of August 16, 2010 with resolution 039 of the Hydrocarbons Secretariat, blocks 7 -21 and Coca Payamino will be operated by Petroamazonas EP</t>
  </si>
  <si>
    <t> N) As of November 25, 2010, with Resolution 285 of the Hydrocarbons Secretariat, Block 18 and the Palo Azul field will be operated by Petroamazonas EP</t>
  </si>
  <si>
    <t> O) The production of Araza field in the Liberator area is recorded as of January 10, 2011</t>
  </si>
  <si>
    <t> P) The production of the Drago-Condorazo field from the Shushufindi area is recorded as of January 20, 2011</t>
  </si>
  <si>
    <t> Q) The production of the Pacoa field is recorded as of April 2011, the same one that is not considered in the POA approved 2011, reason why it is not considered in the fulfillment of the production goal of the Exploration and Production Management</t>
  </si>
  <si>
    <t>Drago_(p)SUSHUFINDI</t>
  </si>
  <si>
    <t>http://www.secretariahidrocarburos.gob.ec/wp-content/uploads/downloads/2014/04/Estad%C3%ADstica-Hidrocarbur%C3%ADfera-2013-Crudo.pdf</t>
  </si>
  <si>
    <t>Block</t>
  </si>
  <si>
    <t>Auca</t>
  </si>
  <si>
    <t>Shushufinidi-Liberatador</t>
  </si>
  <si>
    <t>2013a</t>
  </si>
  <si>
    <t>No</t>
  </si>
  <si>
    <t>Pucuna</t>
  </si>
  <si>
    <t>Cuyabeno-Tipishca</t>
  </si>
  <si>
    <t>Drago Este</t>
  </si>
  <si>
    <t>Drago Norte</t>
  </si>
  <si>
    <t>Auca Sur 1-2</t>
  </si>
  <si>
    <t>V.H.R. (Victor Hugo Raules)</t>
  </si>
  <si>
    <t>Sasha</t>
  </si>
  <si>
    <t>Tipishca-Huaico</t>
  </si>
  <si>
    <t>27?</t>
  </si>
  <si>
    <t>Ocano-Peña Blanca</t>
  </si>
  <si>
    <t>http://www.controlhidrocarburos.gob.ec/wp-content/uploads/producci%C3%B3n-fiscalizada-petro/</t>
  </si>
  <si>
    <t>Indillana</t>
  </si>
  <si>
    <t>Eden Yuturi</t>
  </si>
  <si>
    <t>Palo Azul</t>
  </si>
  <si>
    <t>Coca-Payamino</t>
  </si>
  <si>
    <t>SERVICIOS_ESPECÍFICOS</t>
  </si>
  <si>
    <t>No.</t>
  </si>
  <si>
    <t>CANADA_GRANDE:Pacoa</t>
  </si>
  <si>
    <t>Villano</t>
  </si>
  <si>
    <t>Bermejo</t>
  </si>
  <si>
    <t>Shirley</t>
  </si>
  <si>
    <t>Wanke</t>
  </si>
  <si>
    <t>MDC</t>
  </si>
  <si>
    <t>PBHI</t>
  </si>
  <si>
    <t>Paka Sur</t>
  </si>
  <si>
    <t>Limoncocha</t>
  </si>
  <si>
    <t>Coca</t>
  </si>
  <si>
    <t>Gacela</t>
  </si>
  <si>
    <t>Lobo</t>
  </si>
  <si>
    <t>Mono</t>
  </si>
  <si>
    <t>Oso</t>
  </si>
  <si>
    <t>Payamino</t>
  </si>
  <si>
    <t>46/47</t>
  </si>
  <si>
    <t>MDC/PBHI</t>
  </si>
  <si>
    <t>Puma</t>
  </si>
  <si>
    <t>Tarapoa</t>
  </si>
  <si>
    <t>Mariann</t>
  </si>
  <si>
    <t>Mariann Norte</t>
  </si>
  <si>
    <t>Mariann Sur</t>
  </si>
  <si>
    <t>Mariann 4A</t>
  </si>
  <si>
    <t>Alice</t>
  </si>
  <si>
    <t>Chorongo</t>
  </si>
  <si>
    <t>Chorongo Este</t>
  </si>
  <si>
    <t>Colibri</t>
  </si>
  <si>
    <t>Dorine</t>
  </si>
  <si>
    <t>Mahogany</t>
  </si>
  <si>
    <t>Sonia</t>
  </si>
  <si>
    <t>Amo</t>
  </si>
  <si>
    <t>Dabo</t>
  </si>
  <si>
    <t>Daimi</t>
  </si>
  <si>
    <t>Ginta</t>
  </si>
  <si>
    <t>Iro</t>
  </si>
  <si>
    <t>Tivacuno</t>
  </si>
  <si>
    <t>Tivacuno Suroeste</t>
  </si>
  <si>
    <t>SEE BELOW</t>
  </si>
  <si>
    <t>Kupi</t>
  </si>
  <si>
    <t>Sunka</t>
  </si>
  <si>
    <t>Nantu</t>
  </si>
  <si>
    <t>Hormiguero</t>
  </si>
  <si>
    <t>Hormiguero Sur</t>
  </si>
  <si>
    <t>SEE  BELOW</t>
  </si>
  <si>
    <t>Bermejo Norte</t>
  </si>
  <si>
    <t>Bermejo Sur</t>
  </si>
  <si>
    <t>El Reyo</t>
  </si>
  <si>
    <t>Palanda</t>
  </si>
  <si>
    <t>Yuca Sur 1-2</t>
  </si>
  <si>
    <t>Palanda-Yuca Sur</t>
  </si>
  <si>
    <t>Tiguino</t>
  </si>
  <si>
    <t>NOW PET.AMA.</t>
  </si>
  <si>
    <t>Bogui-Capiron</t>
  </si>
  <si>
    <t>Bogui-Capirón (ABOVE)</t>
  </si>
  <si>
    <t>Transferred to PA</t>
  </si>
  <si>
    <t>Block 27 broken up</t>
  </si>
  <si>
    <t>Cuyabeo-Tipshca</t>
  </si>
  <si>
    <t>Now PA</t>
  </si>
  <si>
    <t>NOW PA</t>
  </si>
  <si>
    <t>ERROR?</t>
  </si>
  <si>
    <t>SEE ABOVE</t>
  </si>
  <si>
    <t>Pindo</t>
  </si>
  <si>
    <t>Pindo Este</t>
  </si>
  <si>
    <t>Petrolamerec_S.A:_Palanda,_Yuca_Sur,_Primavera</t>
  </si>
  <si>
    <t>Primavera</t>
  </si>
  <si>
    <t>N) Block 27 will be operated by Petroproducción due to the termination of the Participation Agreement between City Oriente and El Estado, as of August / 2008</t>
  </si>
  <si>
    <t> O) Distribution of the Private Companies according to the new contracts. Reference Private Data</t>
  </si>
  <si>
    <t>Oil Field</t>
  </si>
  <si>
    <t>Eden-Yuturi</t>
  </si>
  <si>
    <t>Singue</t>
  </si>
  <si>
    <t>Campos del Centro</t>
  </si>
  <si>
    <t>Campos del Norte</t>
  </si>
  <si>
    <t>Campos del Sur</t>
  </si>
  <si>
    <t>Gustavo Galindo</t>
  </si>
  <si>
    <t>Wati</t>
  </si>
  <si>
    <t>Ocano</t>
  </si>
  <si>
    <t>Peña Blanca</t>
  </si>
  <si>
    <t>Jaguar</t>
  </si>
  <si>
    <t>Jambeli</t>
  </si>
  <si>
    <t>Rodeo</t>
  </si>
  <si>
    <t>Amistad</t>
  </si>
  <si>
    <t>Lumbaqui</t>
  </si>
  <si>
    <t>Pusino</t>
  </si>
  <si>
    <t>Camino</t>
  </si>
  <si>
    <t>Yampuna</t>
  </si>
  <si>
    <t>Paka Norte</t>
  </si>
  <si>
    <t>Complejo Yanaquincha</t>
  </si>
  <si>
    <t>Dumbique</t>
  </si>
  <si>
    <t>Dumbique Sur</t>
  </si>
  <si>
    <t>Tangay Este</t>
  </si>
  <si>
    <t>Tumali Sureste</t>
  </si>
  <si>
    <t>Yanahurco</t>
  </si>
  <si>
    <t>Angel Norte</t>
  </si>
  <si>
    <t>Ishpingo</t>
  </si>
  <si>
    <t>ITT</t>
  </si>
  <si>
    <t>Tambococha</t>
  </si>
  <si>
    <t>Tiputini</t>
  </si>
  <si>
    <t>Palmar Oeste</t>
  </si>
  <si>
    <t>Palmeras Norte</t>
  </si>
  <si>
    <t>Pañayacu</t>
  </si>
  <si>
    <t>Quinde</t>
  </si>
  <si>
    <t>Tuich</t>
  </si>
  <si>
    <t>Palo Azul (Campo Unificado)</t>
  </si>
  <si>
    <t>Apaika-Nenke</t>
  </si>
  <si>
    <t>Pacayacu</t>
  </si>
  <si>
    <t>Amilcar Espinel Diaz</t>
  </si>
  <si>
    <t>Auca Este</t>
  </si>
  <si>
    <t>Chonta Este</t>
  </si>
  <si>
    <t>Conga Sur</t>
  </si>
  <si>
    <t>Pitalala</t>
  </si>
  <si>
    <t>Mauro Dávalos Cordero</t>
  </si>
  <si>
    <t>Sami</t>
  </si>
  <si>
    <t>Tapir</t>
  </si>
  <si>
    <t>Tapir Norte</t>
  </si>
  <si>
    <t>Dana</t>
  </si>
  <si>
    <t>Dorine G</t>
  </si>
  <si>
    <t>Fanny-18B</t>
  </si>
  <si>
    <t>Mariann-4A</t>
  </si>
  <si>
    <t>Eno-Ron</t>
  </si>
  <si>
    <t>Eno</t>
  </si>
  <si>
    <t>Ron</t>
  </si>
  <si>
    <t>Operator</t>
  </si>
  <si>
    <t>Petroamazonas EP</t>
  </si>
  <si>
    <t>Pacifpetrol</t>
  </si>
  <si>
    <t>Enap Sipetrol S.A.</t>
  </si>
  <si>
    <t>Agip Oil Ecuador B.V.</t>
  </si>
  <si>
    <t>Petrooriental S.A.</t>
  </si>
  <si>
    <t>Repsol Ecuador S.A.</t>
  </si>
  <si>
    <t>Bloque 28</t>
  </si>
  <si>
    <t>PAM-ENAP-BEL</t>
  </si>
  <si>
    <t>?</t>
  </si>
  <si>
    <t>Consorcio Pegaso</t>
  </si>
  <si>
    <t>Tecpecuador S.A.</t>
  </si>
  <si>
    <t>Orion Energy Ocanopb S.A.</t>
  </si>
  <si>
    <t>Orion Oil ER S.A.</t>
  </si>
  <si>
    <t>Andes Petroleum Ecuador Ltd.</t>
  </si>
  <si>
    <t>Consorcio Palanda-Yuca Sur</t>
  </si>
  <si>
    <t>Consorcio Petrosud-Petroriva</t>
  </si>
  <si>
    <t>Petrobell Inc.</t>
  </si>
  <si>
    <t>Total 2015</t>
  </si>
  <si>
    <t>Anura</t>
  </si>
  <si>
    <t>Armadillo</t>
  </si>
  <si>
    <t>http://www.controlhidrocarburos.gob.ec/wp-content/uploads/2017/06/Mapa-Campos-Menores.jpg</t>
  </si>
  <si>
    <t>http://www.secretariahidrocarburos.gob.ec/wp-content/uploads/downloads/2016/04/ESTADISTICA-HIDROCARBURIFERA-CRUDO-2015.pdf</t>
  </si>
  <si>
    <t>Boa</t>
  </si>
  <si>
    <t>http://www.petroamazonas.gob.ec/wp-content/uploads/downloads/2014/02/6-K2-POA-PROGRAMA-OPERATIVO-ACTUALIZACION-ANUAL-2013-.pdf</t>
  </si>
  <si>
    <t>Chonta Sur</t>
  </si>
  <si>
    <t>http://www.petroamazonas.gob.ec/wp-content/uploads/downloads/2015/04/6-K.2-POA-Programa-Operativo-Anual-Actualizaci%C3%B3n-Anual-2015.pdf</t>
  </si>
  <si>
    <t>For new fields see these types of reports</t>
  </si>
  <si>
    <t>Condorazo Sur Este</t>
  </si>
  <si>
    <t>Dureno</t>
  </si>
  <si>
    <t>Parahuacu Norte</t>
  </si>
  <si>
    <t>Secoya Oeste</t>
  </si>
  <si>
    <t>Copal</t>
  </si>
  <si>
    <t>Inchi</t>
  </si>
  <si>
    <t>Llumpak</t>
  </si>
  <si>
    <t>Hormiguaro Centro</t>
  </si>
  <si>
    <t>Shiripuno Norte</t>
  </si>
  <si>
    <t>Alice Norte</t>
  </si>
  <si>
    <t>Alice Oeste</t>
  </si>
  <si>
    <t>Alice Sur</t>
  </si>
  <si>
    <t>Dorine Norte</t>
  </si>
  <si>
    <t>Esperanza</t>
  </si>
  <si>
    <t>Orquidea</t>
  </si>
  <si>
    <t>Gente Oil Ecuador Pte. Ltd.</t>
  </si>
  <si>
    <t>Total Block 1</t>
  </si>
  <si>
    <t>Total Block 2</t>
  </si>
  <si>
    <t>Total Block 3</t>
  </si>
  <si>
    <t>Total Block 4</t>
  </si>
  <si>
    <t>Total Block 5</t>
  </si>
  <si>
    <t>Total Block 6</t>
  </si>
  <si>
    <t>Total Block 7</t>
  </si>
  <si>
    <t>Total Block 8</t>
  </si>
  <si>
    <t>Total Block 9</t>
  </si>
  <si>
    <t>Total Block 10</t>
  </si>
  <si>
    <t>Total Block 11</t>
  </si>
  <si>
    <t>Total Block 12</t>
  </si>
  <si>
    <t>Total Block 13</t>
  </si>
  <si>
    <t>Total Block 14</t>
  </si>
  <si>
    <t>Total Block 15</t>
  </si>
  <si>
    <t>Total Block 16</t>
  </si>
  <si>
    <t>Total Block 17</t>
  </si>
  <si>
    <t>Total Block 18</t>
  </si>
  <si>
    <t>Total Block 19</t>
  </si>
  <si>
    <t>Total Block 20</t>
  </si>
  <si>
    <t>Total Block 21</t>
  </si>
  <si>
    <t>Total Block 22</t>
  </si>
  <si>
    <t>Total Block 23</t>
  </si>
  <si>
    <t>Total Block 24</t>
  </si>
  <si>
    <t>Total Block 25</t>
  </si>
  <si>
    <t>Total Block 26</t>
  </si>
  <si>
    <t>Total Block 27</t>
  </si>
  <si>
    <t>Total Block 28</t>
  </si>
  <si>
    <t>Total Block 29</t>
  </si>
  <si>
    <t>Total Block 30</t>
  </si>
  <si>
    <t>Total Block 31</t>
  </si>
  <si>
    <t>Total Block 32</t>
  </si>
  <si>
    <t>Total Block 33</t>
  </si>
  <si>
    <t>Total Block 34</t>
  </si>
  <si>
    <t>Total Block 35</t>
  </si>
  <si>
    <t>Total Block 36</t>
  </si>
  <si>
    <t>Total Block 37</t>
  </si>
  <si>
    <t>Total Block 38</t>
  </si>
  <si>
    <t>Total Block 39</t>
  </si>
  <si>
    <t>Total Block 40</t>
  </si>
  <si>
    <t>Total Block 41</t>
  </si>
  <si>
    <t>Total Block 42</t>
  </si>
  <si>
    <t>Total Block 43</t>
  </si>
  <si>
    <t>Total Block 44</t>
  </si>
  <si>
    <t>Total Block 45</t>
  </si>
  <si>
    <t>Total Block 46</t>
  </si>
  <si>
    <t>Total Block 47</t>
  </si>
  <si>
    <t>Total Block 48</t>
  </si>
  <si>
    <t>Total Block 49</t>
  </si>
  <si>
    <t>Total Block 50</t>
  </si>
  <si>
    <t>Total Block 51</t>
  </si>
  <si>
    <t>Total Block 52</t>
  </si>
  <si>
    <t>Total Block 53</t>
  </si>
  <si>
    <t>Total Block 54</t>
  </si>
  <si>
    <t>Total Block 55</t>
  </si>
  <si>
    <t>Total Block 56</t>
  </si>
  <si>
    <t>Total Block 57</t>
  </si>
  <si>
    <t>Total Block 58</t>
  </si>
  <si>
    <t>Total Block 59</t>
  </si>
  <si>
    <t>Total Block 60</t>
  </si>
  <si>
    <t>Total Block 61</t>
  </si>
  <si>
    <t>Total Block 62</t>
  </si>
  <si>
    <t>Total Block 63</t>
  </si>
  <si>
    <t>Total Block 64</t>
  </si>
  <si>
    <t>Total Block 65</t>
  </si>
  <si>
    <t>Total Block 66</t>
  </si>
  <si>
    <t>Total Block 67</t>
  </si>
  <si>
    <t>Block Name</t>
  </si>
  <si>
    <t>Block No.</t>
  </si>
  <si>
    <t>80</t>
  </si>
  <si>
    <t>81</t>
  </si>
  <si>
    <t>82</t>
  </si>
  <si>
    <t>Punino</t>
  </si>
  <si>
    <t>Charapa</t>
  </si>
  <si>
    <t>Chanangue</t>
  </si>
  <si>
    <t>Shushufindi Libertador</t>
  </si>
  <si>
    <t>Shushufinidi-Libertador</t>
  </si>
  <si>
    <t>84</t>
  </si>
  <si>
    <t>85</t>
  </si>
  <si>
    <t>86</t>
  </si>
  <si>
    <t>87</t>
  </si>
  <si>
    <t>Bloque 74</t>
  </si>
  <si>
    <t>Bloque 75</t>
  </si>
  <si>
    <t>Bloque 79</t>
  </si>
  <si>
    <t>Bloque 83</t>
  </si>
  <si>
    <t>77</t>
  </si>
  <si>
    <t>78</t>
  </si>
  <si>
    <t>Total 2016</t>
  </si>
  <si>
    <t>http://www.petroamazonas.gob.ec/wp-content/uploads/downloads/2016/02/POA-2016.pdf</t>
  </si>
  <si>
    <t>Some fields combined</t>
  </si>
  <si>
    <t>ITT - may need correcting for daily value</t>
  </si>
  <si>
    <t>Operationes Rio Napo CEM</t>
  </si>
  <si>
    <t>Secretaria de Hidrocarburos</t>
  </si>
  <si>
    <t>Bloques Adjudicados</t>
  </si>
  <si>
    <t>Daily-2016</t>
  </si>
  <si>
    <t>Daily 5/7/17</t>
  </si>
  <si>
    <t>Daily 6/7/2017</t>
  </si>
  <si>
    <t>Daily reports</t>
  </si>
  <si>
    <t>http://www.controlhidrocarburos.gob.ec/wp-content/uploads/producci%C3%B3n-de-petroleo/reporte-diario-de-produccion.pdf</t>
  </si>
  <si>
    <t>Split by 2015 ratios</t>
  </si>
  <si>
    <t>Daily 24/6/17</t>
  </si>
  <si>
    <t>Daily 25/6/18</t>
  </si>
  <si>
    <t>Daily 26/6/182</t>
  </si>
  <si>
    <t>Daily 27/6/19</t>
  </si>
  <si>
    <t>http://www.controlhidrocarburos.gob.ec/wp-content/uploads/boletin-estadistico/2016/BOLETIN-2016.pdf</t>
  </si>
  <si>
    <t>2013</t>
  </si>
  <si>
    <t>2014</t>
  </si>
  <si>
    <t>Petroamazonas EP*</t>
  </si>
  <si>
    <t>* Was Operaciones Rio Napo CEM until Aug 2016</t>
  </si>
  <si>
    <t>Total-2016</t>
  </si>
  <si>
    <t>Reservas1</t>
  </si>
  <si>
    <t>Reservas</t>
  </si>
  <si>
    <t>http://www.petroamazonas.gob.ec/wp-content/uploads/downloads/2017/06/Brochure-Campos-Menores.pdf</t>
  </si>
  <si>
    <t>http://www.eltelegrafo.com.ec/noticias/economia/8/itt-tiene-1-670-millones-de-barriles-de-crudo</t>
  </si>
  <si>
    <t>Reserves ITT</t>
  </si>
  <si>
    <t xml:space="preserve">Annual </t>
  </si>
  <si>
    <t>Final Annual</t>
  </si>
  <si>
    <t>The total production of Petroamazonas is 430,000 barrels per day, with a production cost of USD 16.96 per barrel and an operating cost of USD 6.89 per barrel</t>
  </si>
  <si>
    <t>Suroriente reserves</t>
  </si>
  <si>
    <t>The ITT block is considered to be the jewel of Ecuador's oil crown, with reserves of about 1.67 billion barrels of crude between 14 and 15 degrees API and a production capacity that would reach about 300,000 bpd by 2022, according to official projections.</t>
  </si>
  <si>
    <t>http://www.eluniverso.com/noticias/2016/09/07/nota/5787927/ecuador-inicia-fase-produccion-bloque-petrolero-itt</t>
  </si>
  <si>
    <t>http://www.petroamazonas.gob.ec/wp-content/uploads/downloads/2017/05/Reporte_Gererencial_2016_LQ.pdf</t>
  </si>
  <si>
    <t>Revenue</t>
  </si>
  <si>
    <t>Cost</t>
  </si>
  <si>
    <t>Oil price (per barrel)</t>
  </si>
  <si>
    <t>Cost of production (per barrel)</t>
  </si>
  <si>
    <t>Profit</t>
  </si>
  <si>
    <t>Total</t>
  </si>
  <si>
    <t>N/S</t>
  </si>
  <si>
    <t>N</t>
  </si>
  <si>
    <t>S</t>
  </si>
  <si>
    <t>39</t>
  </si>
  <si>
    <t>40</t>
  </si>
  <si>
    <t>70</t>
  </si>
  <si>
    <t>71</t>
  </si>
  <si>
    <t>72</t>
  </si>
  <si>
    <t>73</t>
  </si>
  <si>
    <t>Suroriente</t>
  </si>
  <si>
    <t>http://www.hidrocarburos.gob.ec/se-certifica-un-82-mas-de-reservas-de-petroleo-en-el-bloque-43-itt/</t>
  </si>
  <si>
    <t>Av. Per year</t>
  </si>
  <si>
    <t>Av. Daily</t>
  </si>
  <si>
    <t>22</t>
  </si>
  <si>
    <t>29</t>
  </si>
  <si>
    <t>http://rondaspetroleras.yage.ec/portal/es/web/ronda-petrolera/singue</t>
  </si>
  <si>
    <r>
      <t>Area (km</t>
    </r>
    <r>
      <rPr>
        <vertAlign val="superscript"/>
        <sz val="11"/>
        <color theme="1"/>
        <rFont val="Calibri"/>
        <family val="2"/>
        <scheme val="minor"/>
      </rPr>
      <t>2</t>
    </r>
    <r>
      <rPr>
        <sz val="11"/>
        <color theme="1"/>
        <rFont val="Calibri"/>
        <family val="2"/>
        <scheme val="minor"/>
      </rPr>
      <t>)</t>
    </r>
  </si>
  <si>
    <t>PUNGARAYACU</t>
  </si>
  <si>
    <t>FID</t>
  </si>
  <si>
    <t>NOMBRE</t>
  </si>
  <si>
    <t>OPERAD</t>
  </si>
  <si>
    <t>NUM_BQ</t>
  </si>
  <si>
    <t>BLOQUE</t>
  </si>
  <si>
    <t>Shape_Leng</t>
  </si>
  <si>
    <t>Shape_Area</t>
  </si>
  <si>
    <t>Area_km2</t>
  </si>
  <si>
    <t>Pro2015bbl</t>
  </si>
  <si>
    <t>P_A_bbl_km</t>
  </si>
  <si>
    <t>COCA PAYAMINO</t>
  </si>
  <si>
    <t>PETROAMAZONAS EP</t>
  </si>
  <si>
    <t>BLOQUE 7</t>
  </si>
  <si>
    <t>LUMBAQUI</t>
  </si>
  <si>
    <t>BLOQUE 11</t>
  </si>
  <si>
    <t>EDEN YUTURI</t>
  </si>
  <si>
    <t>BLOQUE 12</t>
  </si>
  <si>
    <t>INDILLANA</t>
  </si>
  <si>
    <t>BLOQUE 15</t>
  </si>
  <si>
    <t>PALO AZUL</t>
  </si>
  <si>
    <t>BLOQUE 18</t>
  </si>
  <si>
    <t>SHE</t>
  </si>
  <si>
    <t>BLOQUE 20</t>
  </si>
  <si>
    <t>YURALPA</t>
  </si>
  <si>
    <t>BLOQUE 21</t>
  </si>
  <si>
    <t>APAIKA NENKE</t>
  </si>
  <si>
    <t>BLOQUE 31</t>
  </si>
  <si>
    <t>BLOQUE 43</t>
  </si>
  <si>
    <t>PUCUNA</t>
  </si>
  <si>
    <t>BLOQUE 44</t>
  </si>
  <si>
    <t>PUNINO</t>
  </si>
  <si>
    <t>BLOQUE 48</t>
  </si>
  <si>
    <t>CHARAPA</t>
  </si>
  <si>
    <t>BLOQUE 50</t>
  </si>
  <si>
    <t>CHANANGUE</t>
  </si>
  <si>
    <t>BLOQUE 51</t>
  </si>
  <si>
    <t>ARMADILLO</t>
  </si>
  <si>
    <t>BLOQUE 55</t>
  </si>
  <si>
    <t>LAGO AGRIO</t>
  </si>
  <si>
    <t>BLOQUE 56</t>
  </si>
  <si>
    <t>LIBERTADOR</t>
  </si>
  <si>
    <t>BLOQUE 57</t>
  </si>
  <si>
    <t>CUYABENO TIPISHCA</t>
  </si>
  <si>
    <t>BLOQUE 58</t>
  </si>
  <si>
    <t>VINITA</t>
  </si>
  <si>
    <t>BLOQUE 59</t>
  </si>
  <si>
    <t>SACHA</t>
  </si>
  <si>
    <t>PETROAMAZONAS EP - RIO NAPO</t>
  </si>
  <si>
    <t>BLOQUE 60</t>
  </si>
  <si>
    <t>AUCA</t>
  </si>
  <si>
    <t>BLOQUE 61</t>
  </si>
  <si>
    <t>VILLANO</t>
  </si>
  <si>
    <t>AGIP</t>
  </si>
  <si>
    <t>BLOQUE 10</t>
  </si>
  <si>
    <t>NANTU</t>
  </si>
  <si>
    <t>PETRORIENTAL</t>
  </si>
  <si>
    <t>BLOQUE 14</t>
  </si>
  <si>
    <t>IRO</t>
  </si>
  <si>
    <t>REPSOL YPF</t>
  </si>
  <si>
    <t>BLOQUE 16</t>
  </si>
  <si>
    <t>HORMIGUERO</t>
  </si>
  <si>
    <t>BLOQUE 17</t>
  </si>
  <si>
    <t>PUMA</t>
  </si>
  <si>
    <t>CPNSORCIO PEGASO</t>
  </si>
  <si>
    <t>BLOQUE 45</t>
  </si>
  <si>
    <t>ENAP SIPEC</t>
  </si>
  <si>
    <t>BLOQUE 46</t>
  </si>
  <si>
    <t>BLOQUE 47</t>
  </si>
  <si>
    <t>BERMEJO</t>
  </si>
  <si>
    <t>TECPECUADOR</t>
  </si>
  <si>
    <t>BLOQUE 49</t>
  </si>
  <si>
    <t>OCANO PENA BLANCA</t>
  </si>
  <si>
    <t>CONSORCIO INTERPEC</t>
  </si>
  <si>
    <t>BLOQUE 52</t>
  </si>
  <si>
    <t>SINGUE</t>
  </si>
  <si>
    <t>CONSORCIO DGC</t>
  </si>
  <si>
    <t>BLOQUE 53</t>
  </si>
  <si>
    <t>ENO RON</t>
  </si>
  <si>
    <t>CONSORCIO MARAÃ‘ON</t>
  </si>
  <si>
    <t>BLOQUE 54</t>
  </si>
  <si>
    <t>TARAPOA</t>
  </si>
  <si>
    <t>ANDES PETROLEUM</t>
  </si>
  <si>
    <t>BLOQUE 62</t>
  </si>
  <si>
    <t>PALANDA YUCA SUR</t>
  </si>
  <si>
    <t>CONSORCIO PETROSUD PETRORIVA</t>
  </si>
  <si>
    <t>BLOQUE 64</t>
  </si>
  <si>
    <t>PINDO</t>
  </si>
  <si>
    <t>BLOQUE 65</t>
  </si>
  <si>
    <t>TIGUINO</t>
  </si>
  <si>
    <t>PETROBELL</t>
  </si>
  <si>
    <t>BLOQUE 66</t>
  </si>
  <si>
    <t>TIVACUNO</t>
  </si>
  <si>
    <t>BLOQUE 67</t>
  </si>
  <si>
    <t>SIN ASIGNACIÃ“N</t>
  </si>
  <si>
    <t>SIN ASIGNACION</t>
  </si>
  <si>
    <t>BLOQUE 22</t>
  </si>
  <si>
    <t>NEGOCIACIONES DIRECTAS PAM</t>
  </si>
  <si>
    <t>BLOQUE 28</t>
  </si>
  <si>
    <t>RONDA SUR ORIENTE</t>
  </si>
  <si>
    <t>BLOQUE 29</t>
  </si>
  <si>
    <t>BLOQUE 70</t>
  </si>
  <si>
    <t>BLOQUE 71</t>
  </si>
  <si>
    <t>BLOQUE 72</t>
  </si>
  <si>
    <t>BLOQUE 73</t>
  </si>
  <si>
    <t>BLOQUE 74</t>
  </si>
  <si>
    <t>BLOQUE 75</t>
  </si>
  <si>
    <t>BLOQUE 76</t>
  </si>
  <si>
    <t>BLOQUE 77</t>
  </si>
  <si>
    <t>BLOQUE 78</t>
  </si>
  <si>
    <t>BLOQUE 79</t>
  </si>
  <si>
    <t>BLOQUE 80</t>
  </si>
  <si>
    <t>BLOQUE 81</t>
  </si>
  <si>
    <t>BLOQUE 82</t>
  </si>
  <si>
    <t>BLOQUE 83</t>
  </si>
  <si>
    <t>BLOQUE 84</t>
  </si>
  <si>
    <t>BLOQUE 85</t>
  </si>
  <si>
    <t>BLOQUE 86</t>
  </si>
  <si>
    <t>BLOQUE 87</t>
  </si>
  <si>
    <t>76</t>
  </si>
  <si>
    <t>Prod/Area</t>
  </si>
  <si>
    <t>Final Daily</t>
  </si>
  <si>
    <t>Area southern blocks</t>
  </si>
  <si>
    <t>Data from BCE</t>
  </si>
  <si>
    <t>Pungarayacu oil field (Block 20)</t>
  </si>
  <si>
    <t>Pungarayacu  cost (per barrel)</t>
  </si>
  <si>
    <t>20 (Pungarayacu)</t>
  </si>
  <si>
    <t>Southern cost (per barrel)</t>
  </si>
  <si>
    <t>http://www.feconcr.org/doc/RONDA%20SURORIENTE%20ECUADOR.pdf</t>
  </si>
  <si>
    <t>https://www.bce.fin.ec/index.php/hidrocarburos</t>
  </si>
  <si>
    <t>http://www4.eppetroecuador.ec:8500/sistemanoticias/noticias/BOL%20041.pdf</t>
  </si>
  <si>
    <t>Ex</t>
  </si>
  <si>
    <t>$/km2</t>
  </si>
  <si>
    <t>http://www.argusmedia.com/pages/NewsBody.aspx?id=981010&amp;menu=yes</t>
  </si>
  <si>
    <t>http://www.prnewswire.com/news-releases/world-scale-status-of-ivanhoe-energys-pungarayacu-heavy-oil-field-in-ecuador-confirmed-by-new-independent-review-62195687.html</t>
  </si>
  <si>
    <t>http://www.elciudadano.gob.ec/en/production-cost-of-ecuadorian-barrel-of-crude-oil-falls-under-price-market-presentation/</t>
  </si>
  <si>
    <t>Area (ha)</t>
  </si>
  <si>
    <t>$/ha</t>
  </si>
  <si>
    <t>Agriculture</t>
  </si>
  <si>
    <t>$/Ha/year</t>
  </si>
  <si>
    <t>$/km2/year</t>
  </si>
  <si>
    <t>Area (km2)</t>
  </si>
  <si>
    <t>http://media.arpel2011.clk.com.uy/lv2014/26/donoso.pdf</t>
  </si>
  <si>
    <t>Predicted production and reserves</t>
  </si>
  <si>
    <t>http://www.sciencedirect.com/science/article/pii/S0006320707003011</t>
  </si>
  <si>
    <t>$/Pixel</t>
  </si>
  <si>
    <t>Pixel Area (km^2)</t>
  </si>
  <si>
    <t>Pixels</t>
  </si>
  <si>
    <t>OBJECTID_1</t>
  </si>
  <si>
    <t>Oil_blocks_edits_NUM_BQ</t>
  </si>
  <si>
    <t>Sheet1__Block_Name</t>
  </si>
  <si>
    <t>Sheet1__Operator</t>
  </si>
  <si>
    <t>Shape_Length</t>
  </si>
  <si>
    <t>Ocano-PeÃ±a Blanca</t>
  </si>
  <si>
    <t>Tivacuno Surround</t>
  </si>
  <si>
    <t>Excluded Area</t>
  </si>
  <si>
    <t>Zona Intangible Yasuni Area</t>
  </si>
  <si>
    <t>National Park Exclusion</t>
  </si>
  <si>
    <t>Cuyabeno National Park area</t>
  </si>
  <si>
    <t>Sumaco Napo-Galeras National Park area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</si>
</sst>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USD]\ #,##0.00"/>
    <numFmt numFmtId="165" formatCode="[$$-409]#,##0.00"/>
  </numFmts>
  <fonts count="14" x14ac:knownFonts="1">
    <font>
      <sz val="11"/>
      <color theme="1"/>
      <name val="Calibri"/>
      <family val="2"/>
      <scheme val="minor"/>
    </font>
    <font>
      <sz val="11"/>
      <color rgb="FF9C0006"/>
      <name val="Calibri"/>
      <family val="2"/>
      <scheme val="minor"/>
    </font>
    <font>
      <b/>
      <sz val="11"/>
      <color theme="1"/>
      <name val="Calibri"/>
      <family val="2"/>
      <scheme val="minor"/>
    </font>
    <font>
      <sz val="11"/>
      <color theme="1"/>
      <name val="Calibri"/>
      <family val="2"/>
      <charset val="1"/>
      <scheme val="minor"/>
    </font>
    <font>
      <u/>
      <sz val="11"/>
      <color theme="10"/>
      <name val="Calibri"/>
      <family val="2"/>
      <scheme val="minor"/>
    </font>
    <font>
      <u/>
      <sz val="11"/>
      <color theme="10"/>
      <name val="Calibri"/>
      <family val="2"/>
      <scheme val="minor"/>
    </font>
    <font>
      <sz val="11"/>
      <color theme="1"/>
      <name val="Calibri"/>
      <family val="2"/>
      <scheme val="minor"/>
    </font>
    <font>
      <sz val="11"/>
      <color theme="1"/>
      <name val="Calibri"/>
      <family val="2"/>
      <charset val="1"/>
      <scheme val="minor"/>
    </font>
    <font>
      <sz val="11"/>
      <color rgb="FF9C0006"/>
      <name val="Calibri"/>
      <family val="2"/>
      <scheme val="minor"/>
    </font>
    <font>
      <sz val="11"/>
      <color rgb="FF9C5700"/>
      <name val="Calibri"/>
      <family val="2"/>
      <scheme val="minor"/>
    </font>
    <font>
      <b/>
      <sz val="11"/>
      <color theme="0"/>
      <name val="Calibri"/>
      <family val="2"/>
      <scheme val="minor"/>
    </font>
    <font>
      <b/>
      <sz val="11"/>
      <color rgb="FF9C0006"/>
      <name val="Calibri"/>
      <family val="2"/>
      <scheme val="minor"/>
    </font>
    <font>
      <sz val="11"/>
      <name val="Calibri"/>
      <family val="2"/>
      <scheme val="minor"/>
    </font>
    <font>
      <vertAlign val="superscript"/>
      <sz val="11"/>
      <color theme="1"/>
      <name val="Calibri"/>
      <family val="2"/>
      <scheme val="minor"/>
    </font>
  </fonts>
  <fills count="9">
    <fill>
      <patternFill patternType="none"/>
    </fill>
    <fill>
      <patternFill patternType="gray125"/>
    </fill>
    <fill>
      <patternFill patternType="solid">
        <fgColor rgb="FFFFC7CE"/>
      </patternFill>
    </fill>
    <fill>
      <patternFill patternType="solid">
        <fgColor rgb="FFFFEB9C"/>
      </patternFill>
    </fill>
    <fill>
      <patternFill patternType="solid">
        <fgColor rgb="FFA5A5A5"/>
      </patternFill>
    </fill>
    <fill>
      <patternFill patternType="solid">
        <fgColor rgb="FFFFFF00"/>
        <bgColor indexed="64"/>
      </patternFill>
    </fill>
    <fill>
      <patternFill patternType="solid">
        <fgColor rgb="FFFFC000"/>
        <bgColor indexed="64"/>
      </patternFill>
    </fill>
    <fill>
      <patternFill patternType="solid">
        <fgColor rgb="FF00B050"/>
        <bgColor indexed="64"/>
      </patternFill>
    </fill>
    <fill>
      <patternFill patternType="solid">
        <fgColor theme="4"/>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double">
        <color rgb="FF3F3F3F"/>
      </left>
      <right style="double">
        <color rgb="FF3F3F3F"/>
      </right>
      <top style="double">
        <color rgb="FF3F3F3F"/>
      </top>
      <bottom style="double">
        <color rgb="FF3F3F3F"/>
      </bottom>
      <diagonal/>
    </border>
  </borders>
  <cellStyleXfs count="5">
    <xf numFmtId="0" fontId="0" fillId="0" borderId="0"/>
    <xf numFmtId="0" fontId="1" fillId="2" borderId="0" applyNumberFormat="0" applyBorder="0" applyAlignment="0" applyProtection="0"/>
    <xf numFmtId="0" fontId="4" fillId="0" borderId="0" applyNumberFormat="0" applyFill="0" applyBorder="0" applyAlignment="0" applyProtection="0"/>
    <xf numFmtId="0" fontId="9" fillId="3" borderId="0" applyNumberFormat="0" applyBorder="0" applyAlignment="0" applyProtection="0"/>
    <xf numFmtId="0" fontId="10" fillId="4" borderId="3" applyNumberFormat="0" applyAlignment="0" applyProtection="0"/>
  </cellStyleXfs>
  <cellXfs count="78">
    <xf numFmtId="0" fontId="0" fillId="0" borderId="0" xfId="0"/>
    <xf numFmtId="0" fontId="3" fillId="0" borderId="1" xfId="0" applyFont="1" applyBorder="1" applyAlignment="1">
      <alignment wrapText="1"/>
    </xf>
    <xf numFmtId="3" fontId="3" fillId="0" borderId="1" xfId="0" applyNumberFormat="1" applyFont="1" applyBorder="1" applyAlignment="1">
      <alignment wrapText="1"/>
    </xf>
    <xf numFmtId="4" fontId="3" fillId="0" borderId="1" xfId="0" applyNumberFormat="1" applyFont="1" applyBorder="1" applyAlignment="1">
      <alignment wrapText="1"/>
    </xf>
    <xf numFmtId="0" fontId="3" fillId="0" borderId="1" xfId="0" quotePrefix="1" applyFont="1" applyBorder="1" applyAlignment="1">
      <alignment wrapText="1"/>
    </xf>
    <xf numFmtId="0" fontId="4" fillId="0" borderId="0" xfId="2"/>
    <xf numFmtId="0" fontId="2" fillId="0" borderId="0" xfId="0" applyFont="1"/>
    <xf numFmtId="0" fontId="1" fillId="2" borderId="1" xfId="1" applyBorder="1" applyAlignment="1">
      <alignment wrapText="1"/>
    </xf>
    <xf numFmtId="0" fontId="1" fillId="2" borderId="1" xfId="1" quotePrefix="1" applyBorder="1" applyAlignment="1">
      <alignment wrapText="1"/>
    </xf>
    <xf numFmtId="0" fontId="1" fillId="2" borderId="0" xfId="1"/>
    <xf numFmtId="0" fontId="2" fillId="0" borderId="1" xfId="0" applyFont="1" applyBorder="1" applyAlignment="1">
      <alignment wrapText="1"/>
    </xf>
    <xf numFmtId="3" fontId="2" fillId="0" borderId="1" xfId="0" applyNumberFormat="1" applyFont="1" applyBorder="1" applyAlignment="1">
      <alignment wrapText="1"/>
    </xf>
    <xf numFmtId="4" fontId="2" fillId="0" borderId="1" xfId="0" applyNumberFormat="1" applyFont="1" applyBorder="1" applyAlignment="1">
      <alignment wrapText="1"/>
    </xf>
    <xf numFmtId="0" fontId="3" fillId="0" borderId="2" xfId="0" applyFont="1" applyFill="1" applyBorder="1" applyAlignment="1">
      <alignment wrapText="1"/>
    </xf>
    <xf numFmtId="3" fontId="0" fillId="0" borderId="0" xfId="0" applyNumberFormat="1"/>
    <xf numFmtId="0" fontId="4" fillId="0" borderId="0" xfId="2" applyAlignment="1"/>
    <xf numFmtId="3" fontId="1" fillId="2" borderId="1" xfId="1" applyNumberFormat="1" applyBorder="1" applyAlignment="1">
      <alignment wrapText="1"/>
    </xf>
    <xf numFmtId="0" fontId="5" fillId="0" borderId="0" xfId="2" applyFont="1"/>
    <xf numFmtId="0" fontId="5" fillId="0" borderId="0" xfId="2" applyFont="1" applyAlignment="1"/>
    <xf numFmtId="0" fontId="6" fillId="0" borderId="0" xfId="0" applyFont="1"/>
    <xf numFmtId="0" fontId="6" fillId="0" borderId="0" xfId="0" applyFont="1" applyAlignment="1"/>
    <xf numFmtId="0" fontId="7" fillId="0" borderId="1" xfId="0" applyFont="1" applyBorder="1" applyAlignment="1">
      <alignment wrapText="1"/>
    </xf>
    <xf numFmtId="0" fontId="7" fillId="0" borderId="1" xfId="0" applyFont="1" applyBorder="1" applyAlignment="1"/>
    <xf numFmtId="0" fontId="7" fillId="0" borderId="2" xfId="0" applyFont="1" applyFill="1" applyBorder="1" applyAlignment="1">
      <alignment wrapText="1"/>
    </xf>
    <xf numFmtId="3" fontId="7" fillId="0" borderId="1" xfId="0" applyNumberFormat="1" applyFont="1" applyBorder="1" applyAlignment="1">
      <alignment wrapText="1"/>
    </xf>
    <xf numFmtId="4" fontId="7" fillId="0" borderId="1" xfId="0" applyNumberFormat="1" applyFont="1" applyBorder="1" applyAlignment="1">
      <alignment wrapText="1"/>
    </xf>
    <xf numFmtId="0" fontId="7" fillId="0" borderId="1" xfId="0" quotePrefix="1" applyFont="1" applyBorder="1" applyAlignment="1">
      <alignment wrapText="1"/>
    </xf>
    <xf numFmtId="0" fontId="8" fillId="2" borderId="1" xfId="1" applyFont="1" applyBorder="1" applyAlignment="1">
      <alignment wrapText="1"/>
    </xf>
    <xf numFmtId="0" fontId="8" fillId="2" borderId="1" xfId="1" applyFont="1" applyBorder="1" applyAlignment="1"/>
    <xf numFmtId="0" fontId="8" fillId="2" borderId="1" xfId="1" quotePrefix="1" applyFont="1" applyBorder="1" applyAlignment="1">
      <alignment wrapText="1"/>
    </xf>
    <xf numFmtId="3" fontId="8" fillId="2" borderId="1" xfId="1" applyNumberFormat="1" applyFont="1" applyBorder="1" applyAlignment="1">
      <alignment wrapText="1"/>
    </xf>
    <xf numFmtId="0" fontId="8" fillId="2" borderId="0" xfId="1" applyFont="1"/>
    <xf numFmtId="0" fontId="6" fillId="0" borderId="0" xfId="0" quotePrefix="1" applyFont="1"/>
    <xf numFmtId="0" fontId="7" fillId="0" borderId="0" xfId="0" applyFont="1" applyAlignment="1">
      <alignment wrapText="1"/>
    </xf>
    <xf numFmtId="0" fontId="7" fillId="0" borderId="0" xfId="0" applyFont="1" applyAlignment="1"/>
    <xf numFmtId="0" fontId="6" fillId="0" borderId="0" xfId="0" applyFont="1" applyAlignment="1">
      <alignment wrapText="1"/>
    </xf>
    <xf numFmtId="0" fontId="1" fillId="2" borderId="2" xfId="1" applyBorder="1" applyAlignment="1">
      <alignment wrapText="1"/>
    </xf>
    <xf numFmtId="0" fontId="9" fillId="3" borderId="0" xfId="3"/>
    <xf numFmtId="0" fontId="0" fillId="0" borderId="0" xfId="0" applyAlignment="1">
      <alignment horizontal="center"/>
    </xf>
    <xf numFmtId="49" fontId="0" fillId="0" borderId="0" xfId="0" applyNumberFormat="1" applyAlignment="1">
      <alignment horizontal="center"/>
    </xf>
    <xf numFmtId="0" fontId="11" fillId="2" borderId="0" xfId="1" applyFont="1"/>
    <xf numFmtId="49" fontId="4" fillId="0" borderId="0" xfId="2" applyNumberFormat="1" applyAlignment="1">
      <alignment horizontal="center"/>
    </xf>
    <xf numFmtId="1" fontId="2" fillId="0" borderId="0" xfId="0" applyNumberFormat="1" applyFont="1"/>
    <xf numFmtId="1" fontId="0" fillId="0" borderId="0" xfId="0" applyNumberFormat="1"/>
    <xf numFmtId="1" fontId="1" fillId="2" borderId="0" xfId="1" applyNumberFormat="1"/>
    <xf numFmtId="0" fontId="10" fillId="4" borderId="0" xfId="4" applyBorder="1"/>
    <xf numFmtId="0" fontId="0" fillId="0" borderId="3" xfId="0" applyBorder="1"/>
    <xf numFmtId="1" fontId="10" fillId="4" borderId="0" xfId="4" applyNumberFormat="1" applyBorder="1"/>
    <xf numFmtId="1" fontId="0" fillId="0" borderId="3" xfId="0" applyNumberFormat="1" applyBorder="1"/>
    <xf numFmtId="0" fontId="0" fillId="0" borderId="0" xfId="0" applyBorder="1"/>
    <xf numFmtId="1" fontId="0" fillId="0" borderId="0" xfId="0" applyNumberFormat="1" applyBorder="1"/>
    <xf numFmtId="49" fontId="4" fillId="0" borderId="0" xfId="2" applyNumberFormat="1" applyAlignment="1">
      <alignment horizontal="left"/>
    </xf>
    <xf numFmtId="49" fontId="12" fillId="0" borderId="0" xfId="2" applyNumberFormat="1" applyFont="1" applyAlignment="1">
      <alignment horizontal="left"/>
    </xf>
    <xf numFmtId="164" fontId="0" fillId="0" borderId="0" xfId="0" applyNumberFormat="1"/>
    <xf numFmtId="165" fontId="0" fillId="0" borderId="0" xfId="0" applyNumberFormat="1"/>
    <xf numFmtId="4" fontId="0" fillId="0" borderId="0" xfId="0" applyNumberFormat="1"/>
    <xf numFmtId="0" fontId="0" fillId="0" borderId="0" xfId="0" applyNumberFormat="1"/>
    <xf numFmtId="2" fontId="0" fillId="0" borderId="0" xfId="0" applyNumberFormat="1"/>
    <xf numFmtId="0" fontId="0" fillId="0" borderId="0" xfId="0" applyNumberFormat="1" applyAlignment="1">
      <alignment horizontal="center"/>
    </xf>
    <xf numFmtId="0" fontId="0" fillId="0" borderId="0" xfId="0" applyAlignment="1">
      <alignment horizontal="left"/>
    </xf>
    <xf numFmtId="0" fontId="0" fillId="5" borderId="0" xfId="0" applyFill="1"/>
    <xf numFmtId="0" fontId="0" fillId="6" borderId="0" xfId="0" applyFill="1" applyAlignment="1">
      <alignment horizontal="center"/>
    </xf>
    <xf numFmtId="49" fontId="0" fillId="6" borderId="0" xfId="0" applyNumberFormat="1" applyFill="1" applyAlignment="1">
      <alignment horizontal="center"/>
    </xf>
    <xf numFmtId="0" fontId="0" fillId="6" borderId="0" xfId="0" applyFill="1"/>
    <xf numFmtId="165" fontId="0" fillId="6" borderId="0" xfId="0" applyNumberFormat="1" applyFill="1"/>
    <xf numFmtId="2" fontId="0" fillId="6" borderId="0" xfId="0" applyNumberFormat="1" applyFill="1"/>
    <xf numFmtId="0" fontId="0" fillId="6" borderId="0" xfId="0" applyNumberFormat="1" applyFill="1"/>
    <xf numFmtId="0" fontId="0" fillId="7" borderId="0" xfId="0" applyFill="1" applyAlignment="1">
      <alignment horizontal="center"/>
    </xf>
    <xf numFmtId="49" fontId="0" fillId="7" borderId="0" xfId="0" applyNumberFormat="1" applyFill="1" applyAlignment="1">
      <alignment horizontal="center"/>
    </xf>
    <xf numFmtId="0" fontId="0" fillId="7" borderId="0" xfId="0" applyFill="1"/>
    <xf numFmtId="165" fontId="0" fillId="7" borderId="0" xfId="0" applyNumberFormat="1" applyFill="1"/>
    <xf numFmtId="2" fontId="0" fillId="7" borderId="0" xfId="0" applyNumberFormat="1" applyFill="1"/>
    <xf numFmtId="0" fontId="2" fillId="5" borderId="0" xfId="0" applyFont="1" applyFill="1" applyAlignment="1">
      <alignment horizontal="center"/>
    </xf>
    <xf numFmtId="49" fontId="2" fillId="5" borderId="0" xfId="0" applyNumberFormat="1" applyFont="1" applyFill="1" applyAlignment="1">
      <alignment horizontal="center"/>
    </xf>
    <xf numFmtId="0" fontId="2" fillId="5" borderId="0" xfId="0" applyFont="1" applyFill="1"/>
    <xf numFmtId="165" fontId="2" fillId="5" borderId="0" xfId="0" applyNumberFormat="1" applyFont="1" applyFill="1"/>
    <xf numFmtId="2" fontId="2" fillId="5" borderId="0" xfId="0" applyNumberFormat="1" applyFont="1" applyFill="1"/>
    <xf numFmtId="0" fontId="0" fillId="8" borderId="0" xfId="0" applyFill="1"/>
  </cellXfs>
  <cellStyles count="5">
    <cellStyle name="Bad" xfId="1" builtinId="27"/>
    <cellStyle name="Check Cell" xfId="4" builtinId="23"/>
    <cellStyle name="Hyperlink" xfId="2" builtinId="8"/>
    <cellStyle name="Neutral" xfId="3" builtinId="28"/>
    <cellStyle name="Normal" xfId="0" builtinId="0"/>
  </cellStyles>
  <dxfs count="43">
    <dxf>
      <numFmt numFmtId="0" formatCode="General"/>
    </dxf>
    <dxf>
      <numFmt numFmtId="0" formatCode="General"/>
    </dxf>
    <dxf>
      <numFmt numFmtId="0" formatCode="General"/>
    </dxf>
    <dxf>
      <numFmt numFmtId="0" formatCode="General"/>
    </dxf>
    <dxf>
      <numFmt numFmtId="0" formatCode="General"/>
    </dxf>
    <dxf>
      <numFmt numFmtId="165" formatCode="[$$-409]#,##0.00"/>
    </dxf>
    <dxf>
      <numFmt numFmtId="165" formatCode="[$$-409]#,##0.00"/>
      <fill>
        <patternFill patternType="solid">
          <fgColor indexed="64"/>
          <bgColor rgb="FFFFC000"/>
        </patternFill>
      </fill>
    </dxf>
    <dxf>
      <numFmt numFmtId="165" formatCode="[$$-409]#,##0.00"/>
    </dxf>
    <dxf>
      <numFmt numFmtId="165" formatCode="[$$-409]#,##0.00"/>
      <fill>
        <patternFill patternType="solid">
          <fgColor indexed="64"/>
          <bgColor rgb="FFFFC000"/>
        </patternFill>
      </fill>
    </dxf>
    <dxf>
      <numFmt numFmtId="165" formatCode="[$$-409]#,##0.00"/>
    </dxf>
    <dxf>
      <numFmt numFmtId="165" formatCode="[$$-409]#,##0.00"/>
    </dxf>
    <dxf>
      <numFmt numFmtId="2" formatCode="0.00"/>
    </dxf>
    <dxf>
      <numFmt numFmtId="2" formatCode="0.00"/>
    </dxf>
    <dxf>
      <numFmt numFmtId="165" formatCode="[$$-409]#,##0.00"/>
    </dxf>
    <dxf>
      <numFmt numFmtId="165" formatCode="[$$-409]#,##0.00"/>
    </dxf>
    <dxf>
      <numFmt numFmtId="165" formatCode="[$$-409]#,##0.00"/>
    </dxf>
    <dxf>
      <numFmt numFmtId="0" formatCode="General"/>
    </dxf>
    <dxf>
      <numFmt numFmtId="165" formatCode="[$$-409]#,##0.00"/>
    </dxf>
    <dxf>
      <numFmt numFmtId="0" formatCode="General"/>
    </dxf>
    <dxf>
      <numFmt numFmtId="4" formatCode="#,##0.00"/>
    </dxf>
    <dxf>
      <numFmt numFmtId="0" formatCode="General"/>
    </dxf>
    <dxf>
      <numFmt numFmtId="4" formatCode="#,##0.00"/>
    </dxf>
    <dxf>
      <numFmt numFmtId="0" formatCode="General"/>
    </dxf>
    <dxf>
      <numFmt numFmtId="0" formatCode="General"/>
    </dxf>
    <dxf>
      <numFmt numFmtId="0" formatCode="General"/>
    </dxf>
    <dxf>
      <alignment horizontal="center" vertical="bottom" textRotation="0" wrapText="0" indent="0" justifyLastLine="0" shrinkToFit="0" readingOrder="0"/>
    </dxf>
    <dxf>
      <numFmt numFmtId="0" formatCode="General"/>
      <fill>
        <patternFill patternType="solid">
          <fgColor indexed="64"/>
          <bgColor rgb="FFFFC000"/>
        </patternFill>
      </fill>
    </dxf>
    <dxf>
      <alignment horizontal="center" vertical="bottom" textRotation="0" wrapText="0" indent="0" justifyLastLine="0" shrinkToFit="0" readingOrder="0"/>
    </dxf>
    <dxf>
      <numFmt numFmtId="0" formatCode="General"/>
      <fill>
        <patternFill patternType="solid">
          <fgColor indexed="64"/>
          <bgColor rgb="FFFFC000"/>
        </patternFill>
      </fill>
    </dxf>
    <dxf>
      <alignment horizontal="center" vertical="bottom" textRotation="0" wrapText="0" indent="0" justifyLastLine="0" shrinkToFit="0" readingOrder="0"/>
    </dxf>
    <dxf>
      <numFmt numFmtId="0" formatCode="General"/>
      <fill>
        <patternFill patternType="solid">
          <fgColor indexed="64"/>
          <bgColor rgb="FFFFC000"/>
        </patternFill>
      </fill>
    </dxf>
    <dxf>
      <alignment horizontal="center" vertical="bottom" textRotation="0" wrapText="0" indent="0" justifyLastLine="0" shrinkToFit="0" readingOrder="0"/>
    </dxf>
    <dxf>
      <numFmt numFmtId="30" formatCode="@"/>
      <alignment horizontal="center" vertical="bottom" textRotation="0" wrapText="0" indent="0" justifyLastLine="0" shrinkToFit="0" readingOrder="0"/>
    </dxf>
    <dxf>
      <alignment horizontal="center" vertical="bottom" textRotation="0" wrapText="0" indent="0" justifyLastLine="0" shrinkToFit="0" readingOrder="0"/>
    </dxf>
    <dxf>
      <numFmt numFmtId="30" formatCode="@"/>
      <alignment horizontal="center" vertical="bottom" textRotation="0" wrapText="0" indent="0" justifyLastLine="0" shrinkToFit="0" readingOrder="0"/>
    </dxf>
    <dxf>
      <alignment horizontal="center" vertical="bottom" textRotation="0" wrapText="0" indent="0" justifyLastLine="0" shrinkToFit="0" readingOrder="0"/>
    </dxf>
    <dxf>
      <numFmt numFmtId="30" formatCode="@"/>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numFmt numFmtId="0" formatCode="General"/>
    </dxf>
    <dxf>
      <numFmt numFmtId="1"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onnections" Target="connections.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jpeg"/><Relationship Id="rId4"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10</xdr:col>
      <xdr:colOff>0</xdr:colOff>
      <xdr:row>12</xdr:row>
      <xdr:rowOff>0</xdr:rowOff>
    </xdr:from>
    <xdr:to>
      <xdr:col>26</xdr:col>
      <xdr:colOff>274971</xdr:colOff>
      <xdr:row>53</xdr:row>
      <xdr:rowOff>44777</xdr:rowOff>
    </xdr:to>
    <xdr:pic>
      <xdr:nvPicPr>
        <xdr:cNvPr id="2" name="Picture 1">
          <a:extLst>
            <a:ext uri="{FF2B5EF4-FFF2-40B4-BE49-F238E27FC236}">
              <a16:creationId xmlns:a16="http://schemas.microsoft.com/office/drawing/2014/main" id="{C4F2E59B-B2D8-48D5-A72A-3247DC8C5830}"/>
            </a:ext>
          </a:extLst>
        </xdr:cNvPr>
        <xdr:cNvPicPr>
          <a:picLocks noChangeAspect="1"/>
        </xdr:cNvPicPr>
      </xdr:nvPicPr>
      <xdr:blipFill>
        <a:blip xmlns:r="http://schemas.openxmlformats.org/officeDocument/2006/relationships" r:embed="rId1"/>
        <a:stretch>
          <a:fillRect/>
        </a:stretch>
      </xdr:blipFill>
      <xdr:spPr>
        <a:xfrm>
          <a:off x="6530340" y="2011680"/>
          <a:ext cx="10028571" cy="754285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6</xdr:row>
      <xdr:rowOff>0</xdr:rowOff>
    </xdr:from>
    <xdr:to>
      <xdr:col>81</xdr:col>
      <xdr:colOff>76200</xdr:colOff>
      <xdr:row>178</xdr:row>
      <xdr:rowOff>83820</xdr:rowOff>
    </xdr:to>
    <xdr:pic>
      <xdr:nvPicPr>
        <xdr:cNvPr id="2" name="Picture 1" descr="http://www.geoyasuni.org/wp-content/uploads/2013/07/MAPA_CATASTRAL_ECUADOR_2012.jpg">
          <a:extLst>
            <a:ext uri="{FF2B5EF4-FFF2-40B4-BE49-F238E27FC236}">
              <a16:creationId xmlns:a16="http://schemas.microsoft.com/office/drawing/2014/main" id="{49E4714E-F5FB-45A0-B011-32808F27CB5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76800" y="1097280"/>
          <a:ext cx="44577000" cy="31539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xdr:colOff>
      <xdr:row>0</xdr:row>
      <xdr:rowOff>1</xdr:rowOff>
    </xdr:from>
    <xdr:to>
      <xdr:col>12</xdr:col>
      <xdr:colOff>237975</xdr:colOff>
      <xdr:row>26</xdr:row>
      <xdr:rowOff>129540</xdr:rowOff>
    </xdr:to>
    <xdr:pic>
      <xdr:nvPicPr>
        <xdr:cNvPr id="2" name="Picture 1">
          <a:extLst>
            <a:ext uri="{FF2B5EF4-FFF2-40B4-BE49-F238E27FC236}">
              <a16:creationId xmlns:a16="http://schemas.microsoft.com/office/drawing/2014/main" id="{1C2C4CC8-E997-4A70-B8B3-CDA14048C314}"/>
            </a:ext>
          </a:extLst>
        </xdr:cNvPr>
        <xdr:cNvPicPr>
          <a:picLocks noChangeAspect="1"/>
        </xdr:cNvPicPr>
      </xdr:nvPicPr>
      <xdr:blipFill>
        <a:blip xmlns:r="http://schemas.openxmlformats.org/officeDocument/2006/relationships" r:embed="rId1"/>
        <a:stretch>
          <a:fillRect/>
        </a:stretch>
      </xdr:blipFill>
      <xdr:spPr>
        <a:xfrm>
          <a:off x="1" y="1"/>
          <a:ext cx="7553174" cy="4884419"/>
        </a:xfrm>
        <a:prstGeom prst="rect">
          <a:avLst/>
        </a:prstGeom>
      </xdr:spPr>
    </xdr:pic>
    <xdr:clientData/>
  </xdr:twoCellAnchor>
  <xdr:twoCellAnchor editAs="oneCell">
    <xdr:from>
      <xdr:col>13</xdr:col>
      <xdr:colOff>0</xdr:colOff>
      <xdr:row>1</xdr:row>
      <xdr:rowOff>0</xdr:rowOff>
    </xdr:from>
    <xdr:to>
      <xdr:col>23</xdr:col>
      <xdr:colOff>607189</xdr:colOff>
      <xdr:row>26</xdr:row>
      <xdr:rowOff>114300</xdr:rowOff>
    </xdr:to>
    <xdr:pic>
      <xdr:nvPicPr>
        <xdr:cNvPr id="3" name="Picture 2">
          <a:extLst>
            <a:ext uri="{FF2B5EF4-FFF2-40B4-BE49-F238E27FC236}">
              <a16:creationId xmlns:a16="http://schemas.microsoft.com/office/drawing/2014/main" id="{605F9F80-C696-4E26-A557-3DA37EE0EC8E}"/>
            </a:ext>
          </a:extLst>
        </xdr:cNvPr>
        <xdr:cNvPicPr>
          <a:picLocks noChangeAspect="1"/>
        </xdr:cNvPicPr>
      </xdr:nvPicPr>
      <xdr:blipFill>
        <a:blip xmlns:r="http://schemas.openxmlformats.org/officeDocument/2006/relationships" r:embed="rId2"/>
        <a:stretch>
          <a:fillRect/>
        </a:stretch>
      </xdr:blipFill>
      <xdr:spPr>
        <a:xfrm>
          <a:off x="7924800" y="182880"/>
          <a:ext cx="6703189" cy="4686300"/>
        </a:xfrm>
        <a:prstGeom prst="rect">
          <a:avLst/>
        </a:prstGeom>
      </xdr:spPr>
    </xdr:pic>
    <xdr:clientData/>
  </xdr:twoCellAnchor>
  <xdr:twoCellAnchor editAs="oneCell">
    <xdr:from>
      <xdr:col>1</xdr:col>
      <xdr:colOff>0</xdr:colOff>
      <xdr:row>29</xdr:row>
      <xdr:rowOff>0</xdr:rowOff>
    </xdr:from>
    <xdr:to>
      <xdr:col>30</xdr:col>
      <xdr:colOff>283505</xdr:colOff>
      <xdr:row>33</xdr:row>
      <xdr:rowOff>76095</xdr:rowOff>
    </xdr:to>
    <xdr:pic>
      <xdr:nvPicPr>
        <xdr:cNvPr id="4" name="Picture 3">
          <a:extLst>
            <a:ext uri="{FF2B5EF4-FFF2-40B4-BE49-F238E27FC236}">
              <a16:creationId xmlns:a16="http://schemas.microsoft.com/office/drawing/2014/main" id="{5573A4FD-FA80-4C88-9086-F8247A07A3AB}"/>
            </a:ext>
          </a:extLst>
        </xdr:cNvPr>
        <xdr:cNvPicPr>
          <a:picLocks noChangeAspect="1"/>
        </xdr:cNvPicPr>
      </xdr:nvPicPr>
      <xdr:blipFill>
        <a:blip xmlns:r="http://schemas.openxmlformats.org/officeDocument/2006/relationships" r:embed="rId3"/>
        <a:stretch>
          <a:fillRect/>
        </a:stretch>
      </xdr:blipFill>
      <xdr:spPr>
        <a:xfrm>
          <a:off x="609600" y="5524500"/>
          <a:ext cx="17961905" cy="838095"/>
        </a:xfrm>
        <a:prstGeom prst="rect">
          <a:avLst/>
        </a:prstGeom>
      </xdr:spPr>
    </xdr:pic>
    <xdr:clientData/>
  </xdr:twoCellAnchor>
  <xdr:twoCellAnchor editAs="oneCell">
    <xdr:from>
      <xdr:col>1</xdr:col>
      <xdr:colOff>0</xdr:colOff>
      <xdr:row>35</xdr:row>
      <xdr:rowOff>0</xdr:rowOff>
    </xdr:from>
    <xdr:to>
      <xdr:col>30</xdr:col>
      <xdr:colOff>264457</xdr:colOff>
      <xdr:row>39</xdr:row>
      <xdr:rowOff>76095</xdr:rowOff>
    </xdr:to>
    <xdr:pic>
      <xdr:nvPicPr>
        <xdr:cNvPr id="5" name="Picture 4">
          <a:extLst>
            <a:ext uri="{FF2B5EF4-FFF2-40B4-BE49-F238E27FC236}">
              <a16:creationId xmlns:a16="http://schemas.microsoft.com/office/drawing/2014/main" id="{89788FC8-CA29-4AAA-8268-A987A10FC3D1}"/>
            </a:ext>
          </a:extLst>
        </xdr:cNvPr>
        <xdr:cNvPicPr>
          <a:picLocks noChangeAspect="1"/>
        </xdr:cNvPicPr>
      </xdr:nvPicPr>
      <xdr:blipFill>
        <a:blip xmlns:r="http://schemas.openxmlformats.org/officeDocument/2006/relationships" r:embed="rId4"/>
        <a:stretch>
          <a:fillRect/>
        </a:stretch>
      </xdr:blipFill>
      <xdr:spPr>
        <a:xfrm>
          <a:off x="609600" y="6667500"/>
          <a:ext cx="17942857" cy="838095"/>
        </a:xfrm>
        <a:prstGeom prst="rect">
          <a:avLst/>
        </a:prstGeom>
      </xdr:spPr>
    </xdr:pic>
    <xdr:clientData/>
  </xdr:twoCellAnchor>
  <xdr:twoCellAnchor editAs="oneCell">
    <xdr:from>
      <xdr:col>25</xdr:col>
      <xdr:colOff>76200</xdr:colOff>
      <xdr:row>12</xdr:row>
      <xdr:rowOff>152400</xdr:rowOff>
    </xdr:from>
    <xdr:to>
      <xdr:col>43</xdr:col>
      <xdr:colOff>403860</xdr:colOff>
      <xdr:row>56</xdr:row>
      <xdr:rowOff>30480</xdr:rowOff>
    </xdr:to>
    <xdr:pic>
      <xdr:nvPicPr>
        <xdr:cNvPr id="7" name="Picture 6" descr="http://www.controlhidrocarburos.gob.ec/wp-content/uploads/2017/06/Mapa-Campos-Menores.jpg">
          <a:extLst>
            <a:ext uri="{FF2B5EF4-FFF2-40B4-BE49-F238E27FC236}">
              <a16:creationId xmlns:a16="http://schemas.microsoft.com/office/drawing/2014/main" id="{2C42E993-A32E-425A-B5E2-C7139E4F0B6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5316200" y="2438400"/>
          <a:ext cx="11300460" cy="826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00000000-0016-0000-0600-000000000000}" autoFormatId="16" applyNumberFormats="0" applyBorderFormats="0" applyFontFormats="0" applyPatternFormats="0" applyAlignmentFormats="0" applyWidthHeightFormats="0">
  <queryTableRefresh nextId="8">
    <queryTableFields count="7">
      <queryTableField id="1" name="OBJECTID_1" tableColumnId="1"/>
      <queryTableField id="2" name="Oil_blocks_edits_NUM_BQ" tableColumnId="2"/>
      <queryTableField id="3" name="Sheet1__Block_Name" tableColumnId="3"/>
      <queryTableField id="4" name="Sheet1__Operator" tableColumnId="4"/>
      <queryTableField id="5" name="Shape_Length" tableColumnId="5"/>
      <queryTableField id="6" name="Shape_Area" tableColumnId="6"/>
      <queryTableField id="7" name="Area_km2" tableColumnId="7"/>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1" xr16:uid="{00000000-0016-0000-0800-000001000000}" autoFormatId="16" applyNumberFormats="0" applyBorderFormats="0" applyFontFormats="0" applyPatternFormats="0" applyAlignmentFormats="0" applyWidthHeightFormats="0">
  <queryTableRefresh nextId="11">
    <queryTableFields count="10">
      <queryTableField id="1" name="FID" tableColumnId="1"/>
      <queryTableField id="2" name="NOMBRE" tableColumnId="2"/>
      <queryTableField id="3" name="OPERAD" tableColumnId="3"/>
      <queryTableField id="4" name="NUM_BQ" tableColumnId="4"/>
      <queryTableField id="5" name="BLOQUE" tableColumnId="5"/>
      <queryTableField id="6" name="Shape_Leng" tableColumnId="6"/>
      <queryTableField id="7" name="Shape_Area" tableColumnId="7"/>
      <queryTableField id="8" name="Area_km2" tableColumnId="8"/>
      <queryTableField id="9" name="Pro2015bbl" tableColumnId="9"/>
      <queryTableField id="10" name="P_A_bbl_km" tableColumnId="10"/>
    </queryTableFields>
  </queryTableRefresh>
</queryTable>
</file>

<file path=xl/tables/_rels/table3.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8:K167" totalsRowShown="0">
  <autoFilter ref="A8:K167" xr:uid="{00000000-0009-0000-0100-000001000000}">
    <filterColumn colId="2">
      <filters>
        <filter val="50"/>
      </filters>
    </filterColumn>
  </autoFilter>
  <sortState ref="A9:K167">
    <sortCondition ref="B8:B167"/>
  </sortState>
  <tableColumns count="11">
    <tableColumn id="1" xr3:uid="{00000000-0010-0000-0000-000001000000}" name="Oil Field"/>
    <tableColumn id="2" xr3:uid="{00000000-0010-0000-0000-000002000000}" name="Block"/>
    <tableColumn id="3" xr3:uid="{00000000-0010-0000-0000-000003000000}" name="No"/>
    <tableColumn id="6" xr3:uid="{00000000-0010-0000-0000-000006000000}" name="Operator"/>
    <tableColumn id="9" xr3:uid="{00000000-0010-0000-0000-000009000000}" name="2013"/>
    <tableColumn id="8" xr3:uid="{00000000-0010-0000-0000-000008000000}" name="2014"/>
    <tableColumn id="7" xr3:uid="{00000000-0010-0000-0000-000007000000}" name="Total 2015"/>
    <tableColumn id="4" xr3:uid="{00000000-0010-0000-0000-000004000000}" name="Total 2016"/>
    <tableColumn id="5" xr3:uid="{00000000-0010-0000-0000-000005000000}" name="Total-2016" dataDxfId="42"/>
    <tableColumn id="10" xr3:uid="{00000000-0010-0000-0000-00000A000000}" name="Reservas1"/>
    <tableColumn id="11" xr3:uid="{00000000-0010-0000-0000-00000B000000}" name="Annual " dataDxfId="41">
      <calculatedColumnFormula>Table1[[#This Row],[Total-2016]]</calculatedColumnFormula>
    </tableColumn>
  </tableColumns>
  <tableStyleInfo name="TableStyleLight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2" displayName="Table2" ref="A11:AA73" totalsRowCount="1">
  <autoFilter ref="A11:AA72" xr:uid="{00000000-0009-0000-0100-000002000000}"/>
  <sortState ref="A12:AA64">
    <sortCondition ref="A11:A64"/>
  </sortState>
  <tableColumns count="27">
    <tableColumn id="2" xr3:uid="{00000000-0010-0000-0100-000002000000}" name="Block No." totalsRowLabel="Total" dataDxfId="40" totalsRowDxfId="39"/>
    <tableColumn id="18" xr3:uid="{00000000-0010-0000-0100-000012000000}" name="N/S" dataDxfId="38" totalsRowDxfId="37"/>
    <tableColumn id="5" xr3:uid="{00000000-0010-0000-0100-000005000000}" name="Block Name" dataDxfId="36" totalsRowDxfId="35"/>
    <tableColumn id="7" xr3:uid="{00000000-0010-0000-0100-000007000000}" name="Operator" dataDxfId="34" totalsRowDxfId="33"/>
    <tableColumn id="19" xr3:uid="{00000000-0010-0000-0100-000013000000}" name="Area (km2)" dataDxfId="32" totalsRowDxfId="31"/>
    <tableColumn id="23" xr3:uid="{00000000-0010-0000-0100-000017000000}" name="Area (ha)" dataDxfId="30" totalsRowDxfId="29">
      <calculatedColumnFormula>Table2[[#This Row],[Area (km2)]]*100</calculatedColumnFormula>
    </tableColumn>
    <tableColumn id="26" xr3:uid="{00000000-0010-0000-0100-00001A000000}" name="Pixel Area (km^2)" dataDxfId="28" totalsRowDxfId="27">
      <calculatedColumnFormula>0.928574414031877^2</calculatedColumnFormula>
    </tableColumn>
    <tableColumn id="27" xr3:uid="{00000000-0010-0000-0100-00001B000000}" name="Pixels" dataDxfId="26" totalsRowDxfId="25">
      <calculatedColumnFormula>Table2[[#This Row],[Area (km2)]]/Table2[[#This Row],[Pixel Area (km^2)]]</calculatedColumnFormula>
    </tableColumn>
    <tableColumn id="4" xr3:uid="{00000000-0010-0000-0100-000004000000}" name="Total 2015">
      <calculatedColumnFormula>SUMIF(Table1[No], A12, Table1[Total 2015])</calculatedColumnFormula>
    </tableColumn>
    <tableColumn id="6" xr3:uid="{00000000-0010-0000-0100-000006000000}" name="Total 2016" dataDxfId="24">
      <calculatedColumnFormula>SUMIF(Table1[No], A12, Table1[Total 2016])</calculatedColumnFormula>
    </tableColumn>
    <tableColumn id="15" xr3:uid="{00000000-0010-0000-0100-00000F000000}" name="Total-2016" dataDxfId="23">
      <calculatedColumnFormula>SUMIF(Table1[No], A12, Table1[Total-2016])</calculatedColumnFormula>
    </tableColumn>
    <tableColumn id="1" xr3:uid="{00000000-0010-0000-0100-000001000000}" name="Final Annual" totalsRowFunction="sum" dataDxfId="22" totalsRowDxfId="21">
      <calculatedColumnFormula>Table2[[#This Row],[Total-2016]]</calculatedColumnFormula>
    </tableColumn>
    <tableColumn id="22" xr3:uid="{00000000-0010-0000-0100-000016000000}" name="Final Daily" totalsRowFunction="sum" dataDxfId="20" totalsRowDxfId="19">
      <calculatedColumnFormula>Table2[[#This Row],[Final Annual]]/365</calculatedColumnFormula>
    </tableColumn>
    <tableColumn id="16" xr3:uid="{00000000-0010-0000-0100-000010000000}" name="Revenue" totalsRowFunction="sum" dataDxfId="18" totalsRowDxfId="17">
      <calculatedColumnFormula>Table2[[#This Row],[Final Annual]]*$G$6</calculatedColumnFormula>
    </tableColumn>
    <tableColumn id="3" xr3:uid="{00000000-0010-0000-0100-000003000000}" name="Cost" dataDxfId="16" totalsRowDxfId="15">
      <calculatedColumnFormula>Table2[[#This Row],[Final Annual]]*$G$7</calculatedColumnFormula>
    </tableColumn>
    <tableColumn id="17" xr3:uid="{00000000-0010-0000-0100-000011000000}" name="Profit" totalsRowFunction="sum" dataDxfId="14" totalsRowDxfId="13">
      <calculatedColumnFormula>Table2[[#This Row],[Revenue]]-Table2[[#This Row],[Cost]]</calculatedColumnFormula>
    </tableColumn>
    <tableColumn id="21" xr3:uid="{00000000-0010-0000-0100-000015000000}" name="Prod/Area" dataDxfId="12" totalsRowDxfId="11">
      <calculatedColumnFormula>Table2[[#This Row],[Final Annual]]/Table2[[#This Row],[Area (km2)]]</calculatedColumnFormula>
    </tableColumn>
    <tableColumn id="20" xr3:uid="{00000000-0010-0000-0100-000014000000}" name="$/km2" dataDxfId="10" totalsRowDxfId="9">
      <calculatedColumnFormula>Table2[[#This Row],[Profit]]/Table2[[#This Row],[Area (km2)]]</calculatedColumnFormula>
    </tableColumn>
    <tableColumn id="24" xr3:uid="{00000000-0010-0000-0100-000018000000}" name="$/ha" dataDxfId="8" totalsRowDxfId="7">
      <calculatedColumnFormula>Table2[[#This Row],[Profit]]/Table2[[#This Row],[Area (ha)]]</calculatedColumnFormula>
    </tableColumn>
    <tableColumn id="25" xr3:uid="{00000000-0010-0000-0100-000019000000}" name="$/Pixel" dataDxfId="6" totalsRowDxfId="5">
      <calculatedColumnFormula>Table2[[#This Row],[Profit]]/Table2[[#This Row],[Pixels]]</calculatedColumnFormula>
    </tableColumn>
    <tableColumn id="8" xr3:uid="{00000000-0010-0000-0100-000008000000}" name="Daily-2016"/>
    <tableColumn id="11" xr3:uid="{00000000-0010-0000-0100-00000B000000}" name="Daily 24/6/17"/>
    <tableColumn id="12" xr3:uid="{00000000-0010-0000-0100-00000C000000}" name="Daily 25/6/18"/>
    <tableColumn id="14" xr3:uid="{00000000-0010-0000-0100-00000E000000}" name="Daily 26/6/182"/>
    <tableColumn id="13" xr3:uid="{00000000-0010-0000-0100-00000D000000}" name="Daily 27/6/19"/>
    <tableColumn id="9" xr3:uid="{00000000-0010-0000-0100-000009000000}" name="Daily 5/7/17"/>
    <tableColumn id="10" xr3:uid="{00000000-0010-0000-0100-00000A000000}" name="Daily 6/7/2017"/>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2000000}" name="Export_Output1" displayName="Export_Output1" ref="A1:G62" tableType="queryTable" totalsRowShown="0">
  <autoFilter ref="A1:G62" xr:uid="{00000000-0009-0000-0100-000004000000}"/>
  <tableColumns count="7">
    <tableColumn id="1" xr3:uid="{00000000-0010-0000-0200-000001000000}" uniqueName="1" name="OBJECTID_1" queryTableFieldId="1"/>
    <tableColumn id="2" xr3:uid="{00000000-0010-0000-0200-000002000000}" uniqueName="2" name="Oil_blocks_edits_NUM_BQ" queryTableFieldId="2"/>
    <tableColumn id="3" xr3:uid="{00000000-0010-0000-0200-000003000000}" uniqueName="3" name="Sheet1__Block_Name" queryTableFieldId="3" dataDxfId="4"/>
    <tableColumn id="4" xr3:uid="{00000000-0010-0000-0200-000004000000}" uniqueName="4" name="Sheet1__Operator" queryTableFieldId="4" dataDxfId="3"/>
    <tableColumn id="5" xr3:uid="{00000000-0010-0000-0200-000005000000}" uniqueName="5" name="Shape_Length" queryTableFieldId="5"/>
    <tableColumn id="6" xr3:uid="{00000000-0010-0000-0200-000006000000}" uniqueName="6" name="Shape_Area" queryTableFieldId="6"/>
    <tableColumn id="7" xr3:uid="{00000000-0010-0000-0200-000007000000}" uniqueName="7" name="Area_km2" queryTableFieldId="7"/>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3000000}" name="Export_Output" displayName="Export_Output" ref="A1:J58" tableType="queryTable" totalsRowShown="0">
  <autoFilter ref="A1:J58" xr:uid="{00000000-0009-0000-0100-000003000000}"/>
  <sortState ref="A2:J58">
    <sortCondition ref="D1:D58"/>
  </sortState>
  <tableColumns count="10">
    <tableColumn id="1" xr3:uid="{00000000-0010-0000-0300-000001000000}" uniqueName="1" name="FID" queryTableFieldId="1"/>
    <tableColumn id="2" xr3:uid="{00000000-0010-0000-0300-000002000000}" uniqueName="2" name="NOMBRE" queryTableFieldId="2" dataDxfId="2"/>
    <tableColumn id="3" xr3:uid="{00000000-0010-0000-0300-000003000000}" uniqueName="3" name="OPERAD" queryTableFieldId="3" dataDxfId="1"/>
    <tableColumn id="4" xr3:uid="{00000000-0010-0000-0300-000004000000}" uniqueName="4" name="NUM_BQ" queryTableFieldId="4"/>
    <tableColumn id="5" xr3:uid="{00000000-0010-0000-0300-000005000000}" uniqueName="5" name="BLOQUE" queryTableFieldId="5" dataDxfId="0"/>
    <tableColumn id="6" xr3:uid="{00000000-0010-0000-0300-000006000000}" uniqueName="6" name="Shape_Leng" queryTableFieldId="6"/>
    <tableColumn id="7" xr3:uid="{00000000-0010-0000-0300-000007000000}" uniqueName="7" name="Shape_Area" queryTableFieldId="7"/>
    <tableColumn id="8" xr3:uid="{00000000-0010-0000-0300-000008000000}" uniqueName="8" name="Area_km2" queryTableFieldId="8"/>
    <tableColumn id="9" xr3:uid="{00000000-0010-0000-0300-000009000000}" uniqueName="9" name="Pro2015bbl" queryTableFieldId="9"/>
    <tableColumn id="10" xr3:uid="{00000000-0010-0000-0300-00000A000000}" uniqueName="10" name="P_A_bbl_km" queryTableFieldId="1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www.controlhidrocarburos.gob.ec/wp-content/uploads/producci%C3%B3n-fiscalizada-petro/" TargetMode="External"/><Relationship Id="rId7" Type="http://schemas.openxmlformats.org/officeDocument/2006/relationships/printerSettings" Target="../printerSettings/printerSettings1.bin"/><Relationship Id="rId2" Type="http://schemas.openxmlformats.org/officeDocument/2006/relationships/hyperlink" Target="http://www.eppetroecuador.ec/wp-content/uploads/downloads/2015/03/40-A%C3%B1os-Construyendo-el-Desarrollo-del-Pa%C3%ADs.pdf" TargetMode="External"/><Relationship Id="rId1" Type="http://schemas.openxmlformats.org/officeDocument/2006/relationships/hyperlink" Target="http://www.secretariahidrocarburos.gob.ec/wp-content/uploads/downloads/2014/04/Estad%C3%ADstica-Hidrocarbur%C3%ADfera-2013-Crudo.pdf" TargetMode="External"/><Relationship Id="rId6" Type="http://schemas.openxmlformats.org/officeDocument/2006/relationships/hyperlink" Target="http://www.secretariahidrocarburos.gob.ec/wp-content/uploads/downloads/2016/04/ESTADISTICA-HIDROCARBURIFERA-CRUDO-2015.pdf" TargetMode="External"/><Relationship Id="rId5" Type="http://schemas.openxmlformats.org/officeDocument/2006/relationships/hyperlink" Target="http://www.petroamazonas.gob.ec/wp-content/uploads/downloads/2015/04/6-K.2-POA-Programa-Operativo-Anual-Actualizaci%C3%B3n-Anual-2015.pdf" TargetMode="External"/><Relationship Id="rId4" Type="http://schemas.openxmlformats.org/officeDocument/2006/relationships/hyperlink" Target="http://www.eppetroecuador.ec/wp-content/uploads/downloads/2015/03/40-A%C3%B1os-Construyendo-el-Desarrollo-del-Pa%C3%ADs.pdf" TargetMode="External"/></Relationships>
</file>

<file path=xl/worksheets/_rels/sheet11.xml.rels><?xml version="1.0" encoding="UTF-8" standalone="yes"?>
<Relationships xmlns="http://schemas.openxmlformats.org/package/2006/relationships"><Relationship Id="rId8" Type="http://schemas.openxmlformats.org/officeDocument/2006/relationships/hyperlink" Target="http://media.arpel2011.clk.com.uy/lv2014/26/donoso.pdf" TargetMode="External"/><Relationship Id="rId3" Type="http://schemas.openxmlformats.org/officeDocument/2006/relationships/hyperlink" Target="http://rondaspetroleras.yage.ec/portal/es/web/ronda-petrolera/singue" TargetMode="External"/><Relationship Id="rId7" Type="http://schemas.openxmlformats.org/officeDocument/2006/relationships/hyperlink" Target="http://www.feconcr.org/doc/RONDA%20SURORIENTE%20ECUADOR.pdf" TargetMode="External"/><Relationship Id="rId2" Type="http://schemas.openxmlformats.org/officeDocument/2006/relationships/hyperlink" Target="http://www.hidrocarburos.gob.ec/se-certifica-un-82-mas-de-reservas-de-petroleo-en-el-bloque-43-itt/" TargetMode="External"/><Relationship Id="rId1" Type="http://schemas.openxmlformats.org/officeDocument/2006/relationships/hyperlink" Target="http://www.hidrocarburos.gob.ec/se-certifica-un-82-mas-de-reservas-de-petroleo-en-el-bloque-43-itt/" TargetMode="External"/><Relationship Id="rId6" Type="http://schemas.openxmlformats.org/officeDocument/2006/relationships/hyperlink" Target="http://media.arpel2011.clk.com.uy/lv2014/26/donoso.pdf" TargetMode="External"/><Relationship Id="rId5" Type="http://schemas.openxmlformats.org/officeDocument/2006/relationships/hyperlink" Target="http://www.argusmedia.com/pages/NewsBody.aspx?id=981010&amp;menu=yes" TargetMode="External"/><Relationship Id="rId4" Type="http://schemas.openxmlformats.org/officeDocument/2006/relationships/hyperlink" Target="http://rondaspetroleras.yage.ec/portal/es/web/ronda-petrolera/singue" TargetMode="External"/><Relationship Id="rId9" Type="http://schemas.openxmlformats.org/officeDocument/2006/relationships/drawing" Target="../drawings/drawing1.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6.bin"/><Relationship Id="rId1" Type="http://schemas.openxmlformats.org/officeDocument/2006/relationships/hyperlink" Target="http://www.eppetroecuador.ec/wp-content/uploads/downloads/2015/03/40-A%C3%B1os-Construyendo-el-Desarrollo-del-Pa%C3%ADs.pdf"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hyperlink" Target="http://www.controlhidrocarburos.gob.ec/wp-content/uploads/boletin-estadistico/2016/BOLETIN-2016.pdf" TargetMode="External"/><Relationship Id="rId2" Type="http://schemas.openxmlformats.org/officeDocument/2006/relationships/hyperlink" Target="http://www.petroamazonas.gob.ec/wp-content/uploads/downloads/2016/02/POA-2016.pdf" TargetMode="External"/><Relationship Id="rId1" Type="http://schemas.openxmlformats.org/officeDocument/2006/relationships/hyperlink" Target="http://www.secretariahidrocarburos.gob.ec/wp-content/uploads/downloads/2016/04/ESTADISTICA-HIDROCARBURIFERA-CRUDO-2015.pdf" TargetMode="External"/><Relationship Id="rId6" Type="http://schemas.openxmlformats.org/officeDocument/2006/relationships/table" Target="../tables/table1.xml"/><Relationship Id="rId5" Type="http://schemas.openxmlformats.org/officeDocument/2006/relationships/printerSettings" Target="../printerSettings/printerSettings4.bin"/><Relationship Id="rId4" Type="http://schemas.openxmlformats.org/officeDocument/2006/relationships/hyperlink" Target="http://www.petroamazonas.gob.ec/wp-content/uploads/downloads/2017/06/Brochure-Campos-Menores.pdf" TargetMode="External"/></Relationships>
</file>

<file path=xl/worksheets/_rels/sheet5.xml.rels><?xml version="1.0" encoding="UTF-8" standalone="yes"?>
<Relationships xmlns="http://schemas.openxmlformats.org/package/2006/relationships"><Relationship Id="rId8" Type="http://schemas.openxmlformats.org/officeDocument/2006/relationships/printerSettings" Target="../printerSettings/printerSettings5.bin"/><Relationship Id="rId3" Type="http://schemas.openxmlformats.org/officeDocument/2006/relationships/hyperlink" Target="http://www.eluniverso.com/noticias/2016/09/07/nota/5787927/ecuador-inicia-fase-produccion-bloque-petrolero-itt" TargetMode="External"/><Relationship Id="rId7" Type="http://schemas.openxmlformats.org/officeDocument/2006/relationships/hyperlink" Target="http://www.argusmedia.com/pages/NewsBody.aspx?id=981010&amp;menu=yes" TargetMode="External"/><Relationship Id="rId2" Type="http://schemas.openxmlformats.org/officeDocument/2006/relationships/hyperlink" Target="http://www.petroamazonas.gob.ec/wp-content/uploads/downloads/2017/05/Reporte_Gererencial_2016_LQ.pdf" TargetMode="External"/><Relationship Id="rId1" Type="http://schemas.openxmlformats.org/officeDocument/2006/relationships/hyperlink" Target="http://www.controlhidrocarburos.gob.ec/wp-content/uploads/producci%C3%B3n-de-petroleo/reporte-diario-de-produccion.pdf" TargetMode="External"/><Relationship Id="rId6" Type="http://schemas.openxmlformats.org/officeDocument/2006/relationships/hyperlink" Target="http://www4.eppetroecuador.ec:8500/sistemanoticias/noticias/BOL%20041.pdf" TargetMode="External"/><Relationship Id="rId5" Type="http://schemas.openxmlformats.org/officeDocument/2006/relationships/hyperlink" Target="https://www.bce.fin.ec/index.php/hidrocarburos" TargetMode="External"/><Relationship Id="rId4" Type="http://schemas.openxmlformats.org/officeDocument/2006/relationships/hyperlink" Target="http://www.feconcr.org/doc/RONDA%20SURORIENTE%20ECUADOR.pdf" TargetMode="External"/><Relationship Id="rId9" Type="http://schemas.openxmlformats.org/officeDocument/2006/relationships/table" Target="../tables/table2.xml"/></Relationships>
</file>

<file path=xl/worksheets/_rels/sheet7.xml.rels><?xml version="1.0" encoding="UTF-8" standalone="yes"?>
<Relationships xmlns="http://schemas.openxmlformats.org/package/2006/relationships"><Relationship Id="rId1" Type="http://schemas.openxmlformats.org/officeDocument/2006/relationships/table" Target="../tables/table3.xml"/></Relationships>
</file>

<file path=xl/worksheets/_rels/sheet9.xml.rels><?xml version="1.0" encoding="UTF-8" standalone="yes"?>
<Relationships xmlns="http://schemas.openxmlformats.org/package/2006/relationships"><Relationship Id="rId1" Type="http://schemas.openxmlformats.org/officeDocument/2006/relationships/table" Target="../tables/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88"/>
  <sheetViews>
    <sheetView topLeftCell="A6" zoomScaleNormal="100" workbookViewId="0">
      <selection activeCell="M10" sqref="M10"/>
    </sheetView>
  </sheetViews>
  <sheetFormatPr defaultRowHeight="14.4" x14ac:dyDescent="0.3"/>
  <cols>
    <col min="1" max="1" width="35.5546875" style="19" bestFit="1" customWidth="1"/>
    <col min="2" max="2" width="9.5546875" style="20" customWidth="1"/>
    <col min="3" max="3" width="4.6640625" style="20" customWidth="1"/>
    <col min="4" max="10" width="9" style="19" bestFit="1" customWidth="1"/>
    <col min="11" max="16384" width="8.88671875" style="19"/>
  </cols>
  <sheetData>
    <row r="1" spans="1:11" x14ac:dyDescent="0.3">
      <c r="A1" s="5" t="s">
        <v>65</v>
      </c>
    </row>
    <row r="2" spans="1:11" x14ac:dyDescent="0.3">
      <c r="A2" s="17" t="s">
        <v>133</v>
      </c>
      <c r="B2" s="18"/>
      <c r="C2" s="18"/>
    </row>
    <row r="3" spans="1:11" x14ac:dyDescent="0.3">
      <c r="A3" s="17" t="s">
        <v>65</v>
      </c>
    </row>
    <row r="4" spans="1:11" x14ac:dyDescent="0.3">
      <c r="A4" s="17" t="s">
        <v>149</v>
      </c>
    </row>
    <row r="5" spans="1:11" x14ac:dyDescent="0.3">
      <c r="A5" s="5" t="s">
        <v>299</v>
      </c>
    </row>
    <row r="6" spans="1:11" x14ac:dyDescent="0.3">
      <c r="A6" t="s">
        <v>304</v>
      </c>
      <c r="B6" s="15" t="s">
        <v>303</v>
      </c>
    </row>
    <row r="7" spans="1:11" x14ac:dyDescent="0.3">
      <c r="A7" s="17"/>
    </row>
    <row r="8" spans="1:11" x14ac:dyDescent="0.3">
      <c r="A8" s="21" t="s">
        <v>0</v>
      </c>
      <c r="B8" s="22" t="s">
        <v>134</v>
      </c>
      <c r="C8" s="22" t="s">
        <v>138</v>
      </c>
      <c r="D8" s="21">
        <v>2006</v>
      </c>
      <c r="E8" s="21">
        <v>2007</v>
      </c>
      <c r="F8" s="21">
        <v>2008</v>
      </c>
      <c r="G8" s="21">
        <v>2009</v>
      </c>
      <c r="H8" s="21">
        <v>2010</v>
      </c>
      <c r="I8" s="21">
        <v>2011</v>
      </c>
      <c r="J8" s="21">
        <v>2012</v>
      </c>
      <c r="K8" s="23" t="s">
        <v>137</v>
      </c>
    </row>
    <row r="9" spans="1:11" x14ac:dyDescent="0.3">
      <c r="A9" s="21" t="s">
        <v>1</v>
      </c>
      <c r="B9" s="22"/>
      <c r="C9" s="22"/>
      <c r="D9" s="24">
        <v>68630</v>
      </c>
      <c r="E9" s="24">
        <v>62156</v>
      </c>
      <c r="F9" s="24">
        <v>62397</v>
      </c>
      <c r="G9" s="24">
        <v>63577</v>
      </c>
      <c r="H9" s="24">
        <v>49646</v>
      </c>
      <c r="I9" s="24">
        <v>55281</v>
      </c>
      <c r="J9" s="25">
        <v>58243.72</v>
      </c>
    </row>
    <row r="10" spans="1:11" x14ac:dyDescent="0.3">
      <c r="A10" s="21" t="s">
        <v>2</v>
      </c>
      <c r="B10" s="22" t="s">
        <v>52</v>
      </c>
      <c r="C10" s="22">
        <v>56</v>
      </c>
      <c r="D10" s="24">
        <v>1497</v>
      </c>
      <c r="E10" s="24">
        <v>1339</v>
      </c>
      <c r="F10" s="24">
        <v>1377</v>
      </c>
      <c r="G10" s="24">
        <v>1429</v>
      </c>
      <c r="H10" s="24">
        <v>1370</v>
      </c>
      <c r="I10" s="24">
        <v>1136</v>
      </c>
      <c r="J10" s="24">
        <v>1367</v>
      </c>
    </row>
    <row r="11" spans="1:11" x14ac:dyDescent="0.3">
      <c r="A11" s="21" t="s">
        <v>3</v>
      </c>
      <c r="B11" s="22" t="s">
        <v>145</v>
      </c>
      <c r="C11" s="22">
        <v>60</v>
      </c>
      <c r="D11" s="24">
        <v>16163</v>
      </c>
      <c r="E11" s="24">
        <v>15896</v>
      </c>
      <c r="F11" s="24">
        <v>16602</v>
      </c>
      <c r="G11" s="24">
        <v>14925</v>
      </c>
      <c r="H11" s="26" t="s">
        <v>4</v>
      </c>
      <c r="I11" s="26" t="s">
        <v>4</v>
      </c>
      <c r="J11" s="26" t="s">
        <v>4</v>
      </c>
    </row>
    <row r="12" spans="1:11" x14ac:dyDescent="0.3">
      <c r="A12" s="21" t="s">
        <v>5</v>
      </c>
      <c r="B12" s="22" t="s">
        <v>136</v>
      </c>
      <c r="C12" s="22">
        <v>57</v>
      </c>
      <c r="D12" s="24">
        <v>17361</v>
      </c>
      <c r="E12" s="24">
        <v>15748</v>
      </c>
      <c r="F12" s="24">
        <v>15508</v>
      </c>
      <c r="G12" s="24">
        <v>16344</v>
      </c>
      <c r="H12" s="24">
        <v>16255</v>
      </c>
      <c r="I12" s="24">
        <v>14224</v>
      </c>
      <c r="J12" s="24">
        <v>14578</v>
      </c>
    </row>
    <row r="13" spans="1:11" x14ac:dyDescent="0.3">
      <c r="A13" s="21" t="s">
        <v>6</v>
      </c>
      <c r="B13" s="22" t="s">
        <v>136</v>
      </c>
      <c r="C13" s="22">
        <v>57</v>
      </c>
      <c r="D13" s="26" t="s">
        <v>4</v>
      </c>
      <c r="E13" s="26" t="s">
        <v>4</v>
      </c>
      <c r="F13" s="26" t="s">
        <v>4</v>
      </c>
      <c r="G13" s="26" t="s">
        <v>4</v>
      </c>
      <c r="H13" s="26" t="s">
        <v>4</v>
      </c>
      <c r="I13" s="24">
        <v>2842</v>
      </c>
      <c r="J13" s="24">
        <v>2865</v>
      </c>
    </row>
    <row r="14" spans="1:11" s="31" customFormat="1" x14ac:dyDescent="0.3">
      <c r="A14" s="27" t="s">
        <v>61</v>
      </c>
      <c r="B14" s="28" t="s">
        <v>136</v>
      </c>
      <c r="C14" s="28">
        <v>57</v>
      </c>
      <c r="D14" s="29"/>
      <c r="E14" s="29"/>
      <c r="F14" s="29"/>
      <c r="G14" s="29"/>
      <c r="H14" s="29"/>
      <c r="I14" s="30"/>
      <c r="J14" s="30"/>
    </row>
    <row r="15" spans="1:11" s="31" customFormat="1" x14ac:dyDescent="0.3">
      <c r="A15" s="27" t="s">
        <v>141</v>
      </c>
      <c r="B15" s="28" t="s">
        <v>136</v>
      </c>
      <c r="C15" s="28">
        <v>57</v>
      </c>
      <c r="D15" s="29"/>
      <c r="E15" s="29"/>
      <c r="F15" s="29"/>
      <c r="G15" s="29"/>
      <c r="H15" s="29"/>
      <c r="I15" s="30"/>
      <c r="J15" s="30"/>
    </row>
    <row r="16" spans="1:11" s="31" customFormat="1" x14ac:dyDescent="0.3">
      <c r="A16" s="27" t="s">
        <v>142</v>
      </c>
      <c r="B16" s="28" t="s">
        <v>136</v>
      </c>
      <c r="C16" s="28">
        <v>57</v>
      </c>
      <c r="D16" s="29"/>
      <c r="E16" s="29"/>
      <c r="F16" s="29"/>
      <c r="G16" s="29"/>
      <c r="H16" s="29"/>
      <c r="I16" s="30"/>
      <c r="J16" s="30"/>
    </row>
    <row r="17" spans="1:11" x14ac:dyDescent="0.3">
      <c r="A17" s="21" t="s">
        <v>7</v>
      </c>
      <c r="B17" s="22" t="s">
        <v>136</v>
      </c>
      <c r="C17" s="22">
        <v>57</v>
      </c>
      <c r="D17" s="26" t="s">
        <v>4</v>
      </c>
      <c r="E17" s="26" t="s">
        <v>4</v>
      </c>
      <c r="F17" s="26" t="s">
        <v>4</v>
      </c>
      <c r="G17" s="26" t="s">
        <v>4</v>
      </c>
      <c r="H17" s="26" t="s">
        <v>4</v>
      </c>
      <c r="I17" s="21">
        <v>28</v>
      </c>
      <c r="J17" s="21">
        <v>13</v>
      </c>
    </row>
    <row r="18" spans="1:11" x14ac:dyDescent="0.3">
      <c r="A18" s="21" t="s">
        <v>8</v>
      </c>
      <c r="B18" s="22" t="s">
        <v>136</v>
      </c>
      <c r="C18" s="22">
        <v>57</v>
      </c>
      <c r="D18" s="26" t="s">
        <v>4</v>
      </c>
      <c r="E18" s="26" t="s">
        <v>4</v>
      </c>
      <c r="F18" s="26" t="s">
        <v>4</v>
      </c>
      <c r="G18" s="26" t="s">
        <v>4</v>
      </c>
      <c r="H18" s="26" t="s">
        <v>4</v>
      </c>
      <c r="I18" s="21">
        <v>132</v>
      </c>
      <c r="J18" s="21">
        <v>150</v>
      </c>
    </row>
    <row r="19" spans="1:11" x14ac:dyDescent="0.3">
      <c r="A19" s="21" t="s">
        <v>9</v>
      </c>
      <c r="B19" s="22" t="s">
        <v>136</v>
      </c>
      <c r="C19" s="22">
        <v>57</v>
      </c>
      <c r="D19" s="21">
        <v>506</v>
      </c>
      <c r="E19" s="21">
        <v>452</v>
      </c>
      <c r="F19" s="21">
        <v>416</v>
      </c>
      <c r="G19" s="21">
        <v>518</v>
      </c>
      <c r="H19" s="21">
        <v>596</v>
      </c>
      <c r="I19" s="24">
        <v>1750</v>
      </c>
      <c r="J19" s="24">
        <v>2449</v>
      </c>
      <c r="K19" s="23">
        <v>5.5640000000000001</v>
      </c>
    </row>
    <row r="20" spans="1:11" x14ac:dyDescent="0.3">
      <c r="A20" s="21" t="s">
        <v>10</v>
      </c>
      <c r="B20" s="22" t="s">
        <v>135</v>
      </c>
      <c r="C20" s="22">
        <v>61</v>
      </c>
      <c r="D20" s="24">
        <v>7084</v>
      </c>
      <c r="E20" s="24">
        <v>6109</v>
      </c>
      <c r="F20" s="24">
        <v>6145</v>
      </c>
      <c r="G20" s="24">
        <v>6761</v>
      </c>
      <c r="H20" s="24">
        <v>7272</v>
      </c>
      <c r="I20" s="24">
        <v>10235</v>
      </c>
      <c r="J20" s="24">
        <v>11696</v>
      </c>
    </row>
    <row r="21" spans="1:11" s="31" customFormat="1" x14ac:dyDescent="0.3">
      <c r="A21" s="27" t="s">
        <v>135</v>
      </c>
      <c r="B21" s="28" t="s">
        <v>135</v>
      </c>
      <c r="C21" s="28">
        <v>61</v>
      </c>
      <c r="D21" s="30"/>
      <c r="E21" s="30"/>
      <c r="F21" s="30"/>
      <c r="G21" s="30"/>
      <c r="H21" s="30"/>
      <c r="I21" s="30"/>
      <c r="J21" s="30"/>
    </row>
    <row r="22" spans="1:11" s="31" customFormat="1" x14ac:dyDescent="0.3">
      <c r="A22" s="27" t="s">
        <v>143</v>
      </c>
      <c r="B22" s="28" t="s">
        <v>135</v>
      </c>
      <c r="C22" s="28">
        <v>61</v>
      </c>
      <c r="D22" s="30"/>
      <c r="E22" s="30"/>
      <c r="F22" s="30"/>
      <c r="G22" s="30"/>
      <c r="H22" s="30"/>
      <c r="I22" s="30"/>
      <c r="J22" s="30"/>
    </row>
    <row r="23" spans="1:11" x14ac:dyDescent="0.3">
      <c r="A23" s="21" t="s">
        <v>11</v>
      </c>
      <c r="B23" s="22" t="s">
        <v>136</v>
      </c>
      <c r="C23" s="22">
        <v>57</v>
      </c>
      <c r="D23" s="24">
        <v>2444</v>
      </c>
      <c r="E23" s="24">
        <v>1563</v>
      </c>
      <c r="F23" s="24">
        <v>1433</v>
      </c>
      <c r="G23" s="24">
        <v>1197</v>
      </c>
      <c r="H23" s="24">
        <v>1016</v>
      </c>
      <c r="I23" s="24">
        <v>1707</v>
      </c>
      <c r="J23" s="24">
        <v>1465</v>
      </c>
    </row>
    <row r="24" spans="1:11" x14ac:dyDescent="0.3">
      <c r="A24" s="21" t="s">
        <v>12</v>
      </c>
      <c r="B24" s="22" t="s">
        <v>136</v>
      </c>
      <c r="C24" s="22">
        <v>57</v>
      </c>
      <c r="D24" s="21">
        <v>586</v>
      </c>
      <c r="E24" s="21">
        <v>674</v>
      </c>
      <c r="F24" s="21">
        <v>862</v>
      </c>
      <c r="G24" s="24">
        <v>1206</v>
      </c>
      <c r="H24" s="24">
        <v>1146</v>
      </c>
      <c r="I24" s="24">
        <v>1219</v>
      </c>
      <c r="J24" s="21">
        <v>923</v>
      </c>
    </row>
    <row r="25" spans="1:11" x14ac:dyDescent="0.3">
      <c r="A25" s="21" t="s">
        <v>13</v>
      </c>
      <c r="B25" s="22" t="s">
        <v>135</v>
      </c>
      <c r="C25" s="22">
        <v>61</v>
      </c>
      <c r="D25" s="24">
        <v>1647</v>
      </c>
      <c r="E25" s="24">
        <v>1380</v>
      </c>
      <c r="F25" s="24">
        <v>1601</v>
      </c>
      <c r="G25" s="24">
        <v>1792</v>
      </c>
      <c r="H25" s="24">
        <v>1740</v>
      </c>
      <c r="I25" s="24">
        <v>1636</v>
      </c>
      <c r="J25" s="24">
        <v>1235</v>
      </c>
    </row>
    <row r="26" spans="1:11" x14ac:dyDescent="0.3">
      <c r="A26" s="21" t="s">
        <v>14</v>
      </c>
      <c r="B26" s="22" t="s">
        <v>135</v>
      </c>
      <c r="C26" s="22">
        <v>61</v>
      </c>
      <c r="D26" s="21">
        <v>989</v>
      </c>
      <c r="E26" s="21">
        <v>860</v>
      </c>
      <c r="F26" s="21">
        <v>718</v>
      </c>
      <c r="G26" s="21">
        <v>785</v>
      </c>
      <c r="H26" s="24">
        <v>1223</v>
      </c>
      <c r="I26" s="24">
        <v>1170</v>
      </c>
      <c r="J26" s="24">
        <v>1114</v>
      </c>
    </row>
    <row r="27" spans="1:11" x14ac:dyDescent="0.3">
      <c r="A27" s="21" t="s">
        <v>15</v>
      </c>
      <c r="B27" s="22" t="s">
        <v>135</v>
      </c>
      <c r="C27" s="22">
        <v>61</v>
      </c>
      <c r="D27" s="21">
        <v>934</v>
      </c>
      <c r="E27" s="21">
        <v>846</v>
      </c>
      <c r="F27" s="21">
        <v>837</v>
      </c>
      <c r="G27" s="21">
        <v>842</v>
      </c>
      <c r="H27" s="24">
        <v>1186</v>
      </c>
      <c r="I27" s="21">
        <v>971</v>
      </c>
      <c r="J27" s="24">
        <v>1279</v>
      </c>
    </row>
    <row r="28" spans="1:11" x14ac:dyDescent="0.3">
      <c r="A28" s="21" t="s">
        <v>16</v>
      </c>
      <c r="B28" s="22" t="s">
        <v>135</v>
      </c>
      <c r="C28" s="22">
        <v>61</v>
      </c>
      <c r="D28" s="24">
        <v>3344</v>
      </c>
      <c r="E28" s="24">
        <v>2557</v>
      </c>
      <c r="F28" s="24">
        <v>2473</v>
      </c>
      <c r="G28" s="24">
        <v>2104</v>
      </c>
      <c r="H28" s="24">
        <v>1997</v>
      </c>
      <c r="I28" s="24">
        <v>2401</v>
      </c>
      <c r="J28" s="24">
        <v>2262</v>
      </c>
    </row>
    <row r="29" spans="1:11" x14ac:dyDescent="0.3">
      <c r="A29" s="21" t="s">
        <v>17</v>
      </c>
      <c r="B29" s="22" t="s">
        <v>136</v>
      </c>
      <c r="C29" s="22">
        <v>57</v>
      </c>
      <c r="D29" s="24">
        <v>1580</v>
      </c>
      <c r="E29" s="24">
        <v>1434</v>
      </c>
      <c r="F29" s="24">
        <v>1413</v>
      </c>
      <c r="G29" s="24">
        <v>1768</v>
      </c>
      <c r="H29" s="24">
        <v>1865</v>
      </c>
      <c r="I29" s="24">
        <v>1367</v>
      </c>
      <c r="J29" s="24">
        <v>1330</v>
      </c>
    </row>
    <row r="30" spans="1:11" x14ac:dyDescent="0.3">
      <c r="A30" s="21" t="s">
        <v>18</v>
      </c>
      <c r="B30" s="22" t="s">
        <v>135</v>
      </c>
      <c r="C30" s="22">
        <v>61</v>
      </c>
      <c r="D30" s="21">
        <v>244</v>
      </c>
      <c r="E30" s="21">
        <v>249</v>
      </c>
      <c r="F30" s="21">
        <v>339</v>
      </c>
      <c r="G30" s="21">
        <v>407</v>
      </c>
      <c r="H30" s="21">
        <v>239</v>
      </c>
      <c r="I30" s="21">
        <v>227</v>
      </c>
      <c r="J30" s="21">
        <v>633</v>
      </c>
    </row>
    <row r="31" spans="1:11" x14ac:dyDescent="0.3">
      <c r="A31" s="21" t="s">
        <v>19</v>
      </c>
      <c r="B31" s="22" t="s">
        <v>136</v>
      </c>
      <c r="C31" s="22">
        <v>57</v>
      </c>
      <c r="D31" s="21">
        <v>824</v>
      </c>
      <c r="E31" s="21">
        <v>892</v>
      </c>
      <c r="F31" s="21">
        <v>940</v>
      </c>
      <c r="G31" s="21">
        <v>733</v>
      </c>
      <c r="H31" s="21">
        <v>732</v>
      </c>
      <c r="I31" s="21">
        <v>714</v>
      </c>
      <c r="J31" s="21">
        <v>480</v>
      </c>
    </row>
    <row r="32" spans="1:11" x14ac:dyDescent="0.3">
      <c r="A32" s="21" t="s">
        <v>20</v>
      </c>
      <c r="B32" s="22" t="s">
        <v>136</v>
      </c>
      <c r="C32" s="22">
        <v>57</v>
      </c>
      <c r="D32" s="21">
        <v>966</v>
      </c>
      <c r="E32" s="21">
        <v>691</v>
      </c>
      <c r="F32" s="21">
        <v>713</v>
      </c>
      <c r="G32" s="21">
        <v>684</v>
      </c>
      <c r="H32" s="21">
        <v>681</v>
      </c>
      <c r="I32" s="21">
        <v>810</v>
      </c>
      <c r="J32" s="21">
        <v>847</v>
      </c>
    </row>
    <row r="33" spans="1:10" x14ac:dyDescent="0.3">
      <c r="A33" s="21" t="s">
        <v>21</v>
      </c>
      <c r="B33" s="22" t="s">
        <v>136</v>
      </c>
      <c r="C33" s="22">
        <v>57</v>
      </c>
      <c r="D33" s="24">
        <v>2882</v>
      </c>
      <c r="E33" s="24">
        <v>2318</v>
      </c>
      <c r="F33" s="24">
        <v>2242</v>
      </c>
      <c r="G33" s="24">
        <v>1966</v>
      </c>
      <c r="H33" s="24">
        <v>2030</v>
      </c>
      <c r="I33" s="24">
        <v>1486</v>
      </c>
      <c r="J33" s="24">
        <v>1612</v>
      </c>
    </row>
    <row r="34" spans="1:10" x14ac:dyDescent="0.3">
      <c r="A34" s="21" t="s">
        <v>22</v>
      </c>
      <c r="B34" s="22" t="s">
        <v>136</v>
      </c>
      <c r="C34" s="22">
        <v>57</v>
      </c>
      <c r="D34" s="24">
        <v>1649</v>
      </c>
      <c r="E34" s="24">
        <v>1650</v>
      </c>
      <c r="F34" s="24">
        <v>1399</v>
      </c>
      <c r="G34" s="24">
        <v>1515</v>
      </c>
      <c r="H34" s="24">
        <v>1076</v>
      </c>
      <c r="I34" s="24">
        <v>1257</v>
      </c>
      <c r="J34" s="24">
        <v>1168</v>
      </c>
    </row>
    <row r="35" spans="1:10" x14ac:dyDescent="0.3">
      <c r="A35" s="21" t="s">
        <v>23</v>
      </c>
      <c r="B35" s="22" t="s">
        <v>136</v>
      </c>
      <c r="C35" s="22">
        <v>57</v>
      </c>
      <c r="D35" s="21">
        <v>686</v>
      </c>
      <c r="E35" s="21">
        <v>546</v>
      </c>
      <c r="F35" s="21">
        <v>606</v>
      </c>
      <c r="G35" s="21">
        <v>610</v>
      </c>
      <c r="H35" s="21">
        <v>588</v>
      </c>
      <c r="I35" s="21">
        <v>596</v>
      </c>
      <c r="J35" s="21">
        <v>512</v>
      </c>
    </row>
    <row r="36" spans="1:10" x14ac:dyDescent="0.3">
      <c r="A36" s="21" t="s">
        <v>24</v>
      </c>
      <c r="B36" s="22" t="s">
        <v>136</v>
      </c>
      <c r="C36" s="22">
        <v>57</v>
      </c>
      <c r="D36" s="26" t="s">
        <v>4</v>
      </c>
      <c r="E36" s="26" t="s">
        <v>4</v>
      </c>
      <c r="F36" s="26" t="s">
        <v>4</v>
      </c>
      <c r="G36" s="26" t="s">
        <v>4</v>
      </c>
      <c r="H36" s="26" t="s">
        <v>4</v>
      </c>
      <c r="I36" s="21">
        <v>84</v>
      </c>
      <c r="J36" s="21">
        <v>34</v>
      </c>
    </row>
    <row r="37" spans="1:10" x14ac:dyDescent="0.3">
      <c r="A37" s="21" t="s">
        <v>25</v>
      </c>
      <c r="B37" s="22" t="s">
        <v>140</v>
      </c>
      <c r="C37" s="22">
        <v>58</v>
      </c>
      <c r="D37" s="24">
        <v>2873</v>
      </c>
      <c r="E37" s="24">
        <v>2930</v>
      </c>
      <c r="F37" s="24">
        <v>2886</v>
      </c>
      <c r="G37" s="24">
        <v>2776</v>
      </c>
      <c r="H37" s="24">
        <v>3976</v>
      </c>
      <c r="I37" s="24">
        <v>3780</v>
      </c>
      <c r="J37" s="24">
        <v>4037</v>
      </c>
    </row>
    <row r="38" spans="1:10" x14ac:dyDescent="0.3">
      <c r="A38" s="21" t="s">
        <v>26</v>
      </c>
      <c r="B38" s="22" t="s">
        <v>140</v>
      </c>
      <c r="C38" s="22">
        <v>58</v>
      </c>
      <c r="D38" s="21">
        <v>757</v>
      </c>
      <c r="E38" s="21">
        <v>781</v>
      </c>
      <c r="F38" s="21">
        <v>769</v>
      </c>
      <c r="G38" s="21">
        <v>672</v>
      </c>
      <c r="H38" s="21">
        <v>433</v>
      </c>
      <c r="I38" s="21">
        <v>628</v>
      </c>
      <c r="J38" s="24">
        <v>1113</v>
      </c>
    </row>
    <row r="39" spans="1:10" x14ac:dyDescent="0.3">
      <c r="A39" s="21" t="s">
        <v>27</v>
      </c>
      <c r="B39" s="22" t="s">
        <v>139</v>
      </c>
      <c r="C39" s="22">
        <v>44</v>
      </c>
      <c r="D39" s="21">
        <v>642</v>
      </c>
      <c r="E39" s="21">
        <v>631</v>
      </c>
      <c r="F39" s="21">
        <v>177</v>
      </c>
      <c r="G39" s="26" t="s">
        <v>4</v>
      </c>
      <c r="H39" s="26" t="s">
        <v>4</v>
      </c>
      <c r="I39" s="21">
        <v>736</v>
      </c>
      <c r="J39" s="21">
        <v>838</v>
      </c>
    </row>
    <row r="40" spans="1:10" x14ac:dyDescent="0.3">
      <c r="A40" s="21" t="s">
        <v>144</v>
      </c>
      <c r="B40" s="22" t="s">
        <v>140</v>
      </c>
      <c r="C40" s="22">
        <v>58</v>
      </c>
      <c r="D40" s="24">
        <v>2378</v>
      </c>
      <c r="E40" s="24">
        <v>2020</v>
      </c>
      <c r="F40" s="24">
        <v>2253</v>
      </c>
      <c r="G40" s="24">
        <v>3060</v>
      </c>
      <c r="H40" s="24">
        <v>2882</v>
      </c>
      <c r="I40" s="24">
        <v>3018</v>
      </c>
      <c r="J40" s="24">
        <v>2926</v>
      </c>
    </row>
    <row r="41" spans="1:10" x14ac:dyDescent="0.3">
      <c r="A41" s="21" t="s">
        <v>29</v>
      </c>
      <c r="B41" s="22" t="s">
        <v>136</v>
      </c>
      <c r="C41" s="22">
        <v>57</v>
      </c>
      <c r="D41" s="21">
        <v>219</v>
      </c>
      <c r="E41" s="21">
        <v>190</v>
      </c>
      <c r="F41" s="21">
        <v>247</v>
      </c>
      <c r="G41" s="21">
        <v>211</v>
      </c>
      <c r="H41" s="21">
        <v>145</v>
      </c>
      <c r="I41" s="21">
        <v>126</v>
      </c>
      <c r="J41" s="21">
        <v>329</v>
      </c>
    </row>
    <row r="42" spans="1:10" x14ac:dyDescent="0.3">
      <c r="A42" s="21" t="s">
        <v>30</v>
      </c>
      <c r="B42" s="22" t="s">
        <v>136</v>
      </c>
      <c r="C42" s="22">
        <v>57</v>
      </c>
      <c r="D42" s="21">
        <v>265</v>
      </c>
      <c r="E42" s="21">
        <v>270</v>
      </c>
      <c r="F42" s="21">
        <v>306</v>
      </c>
      <c r="G42" s="21">
        <v>165</v>
      </c>
      <c r="H42" s="21">
        <v>146</v>
      </c>
      <c r="I42" s="21">
        <v>132</v>
      </c>
      <c r="J42" s="21">
        <v>143</v>
      </c>
    </row>
    <row r="43" spans="1:10" x14ac:dyDescent="0.3">
      <c r="A43" s="21" t="s">
        <v>31</v>
      </c>
      <c r="B43" s="22" t="s">
        <v>135</v>
      </c>
      <c r="C43" s="22">
        <v>61</v>
      </c>
      <c r="D43" s="21">
        <v>111</v>
      </c>
      <c r="E43" s="21">
        <v>129</v>
      </c>
      <c r="F43" s="21">
        <v>135</v>
      </c>
      <c r="G43" s="21">
        <v>134</v>
      </c>
      <c r="H43" s="21">
        <v>139</v>
      </c>
      <c r="I43" s="21">
        <v>135</v>
      </c>
      <c r="J43" s="21">
        <v>186</v>
      </c>
    </row>
    <row r="44" spans="1:10" ht="28.8" x14ac:dyDescent="0.3">
      <c r="A44" s="21" t="s">
        <v>32</v>
      </c>
      <c r="B44" s="22"/>
      <c r="C44" s="22"/>
      <c r="D44" s="26" t="s">
        <v>4</v>
      </c>
      <c r="E44" s="26" t="s">
        <v>4</v>
      </c>
      <c r="F44" s="26" t="s">
        <v>4</v>
      </c>
      <c r="G44" s="21">
        <v>976</v>
      </c>
      <c r="H44" s="21">
        <v>911</v>
      </c>
      <c r="I44" s="21">
        <v>732</v>
      </c>
      <c r="J44" s="21">
        <v>660</v>
      </c>
    </row>
    <row r="45" spans="1:10" s="31" customFormat="1" x14ac:dyDescent="0.3">
      <c r="A45" s="27" t="s">
        <v>57</v>
      </c>
      <c r="B45" s="28" t="s">
        <v>148</v>
      </c>
      <c r="C45" s="28">
        <v>52</v>
      </c>
      <c r="D45" s="29"/>
      <c r="E45" s="29"/>
      <c r="F45" s="29"/>
      <c r="G45" s="27"/>
      <c r="H45" s="27"/>
      <c r="I45" s="27"/>
      <c r="J45" s="27"/>
    </row>
    <row r="46" spans="1:10" s="31" customFormat="1" x14ac:dyDescent="0.3">
      <c r="A46" s="27" t="s">
        <v>146</v>
      </c>
      <c r="B46" s="28" t="s">
        <v>148</v>
      </c>
      <c r="C46" s="28" t="s">
        <v>147</v>
      </c>
      <c r="D46" s="29"/>
      <c r="E46" s="29"/>
      <c r="F46" s="29"/>
      <c r="G46" s="27"/>
      <c r="H46" s="27"/>
      <c r="I46" s="27"/>
      <c r="J46" s="27"/>
    </row>
    <row r="47" spans="1:10" s="31" customFormat="1" x14ac:dyDescent="0.3">
      <c r="A47" s="27" t="s">
        <v>60</v>
      </c>
      <c r="B47" s="28" t="s">
        <v>60</v>
      </c>
      <c r="C47" s="28">
        <v>59</v>
      </c>
      <c r="D47" s="29"/>
      <c r="E47" s="29"/>
      <c r="F47" s="29"/>
      <c r="G47" s="27"/>
      <c r="H47" s="27"/>
      <c r="I47" s="27"/>
      <c r="J47" s="27"/>
    </row>
    <row r="48" spans="1:10" x14ac:dyDescent="0.3">
      <c r="A48" s="19" t="s">
        <v>33</v>
      </c>
      <c r="B48" s="19"/>
      <c r="C48" s="19"/>
      <c r="D48" s="32" t="s">
        <v>4</v>
      </c>
      <c r="E48" s="32" t="s">
        <v>4</v>
      </c>
      <c r="F48" s="32" t="s">
        <v>4</v>
      </c>
      <c r="G48" s="32" t="s">
        <v>4</v>
      </c>
      <c r="H48" s="19">
        <v>3</v>
      </c>
      <c r="I48" s="19">
        <v>21</v>
      </c>
      <c r="J48" s="19">
        <v>19.79</v>
      </c>
    </row>
    <row r="49" spans="1:10" x14ac:dyDescent="0.3">
      <c r="A49" s="19" t="s">
        <v>35</v>
      </c>
      <c r="B49" s="19" t="s">
        <v>104</v>
      </c>
      <c r="C49" s="19">
        <v>1</v>
      </c>
      <c r="D49" s="32" t="s">
        <v>4</v>
      </c>
      <c r="E49" s="32" t="s">
        <v>4</v>
      </c>
      <c r="F49" s="32" t="s">
        <v>4</v>
      </c>
      <c r="G49" s="32" t="s">
        <v>4</v>
      </c>
      <c r="H49" s="19">
        <v>3</v>
      </c>
      <c r="I49" s="19">
        <v>21</v>
      </c>
      <c r="J49" s="19">
        <v>20</v>
      </c>
    </row>
    <row r="50" spans="1:10" x14ac:dyDescent="0.3">
      <c r="A50" s="21" t="s">
        <v>36</v>
      </c>
      <c r="B50" s="22"/>
      <c r="C50" s="22"/>
      <c r="D50" s="26" t="s">
        <v>4</v>
      </c>
      <c r="E50" s="26" t="s">
        <v>4</v>
      </c>
      <c r="F50" s="26" t="s">
        <v>4</v>
      </c>
      <c r="G50" s="24">
        <v>3006</v>
      </c>
      <c r="H50" s="24">
        <v>18495</v>
      </c>
      <c r="I50" s="24">
        <v>18075</v>
      </c>
      <c r="J50" s="24">
        <v>21114</v>
      </c>
    </row>
    <row r="51" spans="1:10" x14ac:dyDescent="0.3">
      <c r="A51" s="21" t="s">
        <v>37</v>
      </c>
      <c r="B51" s="22" t="s">
        <v>145</v>
      </c>
      <c r="C51" s="22">
        <v>60</v>
      </c>
      <c r="D51" s="26" t="s">
        <v>4</v>
      </c>
      <c r="E51" s="26" t="s">
        <v>4</v>
      </c>
      <c r="F51" s="26" t="s">
        <v>4</v>
      </c>
      <c r="G51" s="24">
        <v>3006</v>
      </c>
      <c r="H51" s="24">
        <v>18495</v>
      </c>
      <c r="I51" s="24">
        <v>18075</v>
      </c>
      <c r="J51" s="24">
        <v>21114</v>
      </c>
    </row>
    <row r="52" spans="1:10" x14ac:dyDescent="0.3">
      <c r="A52" s="21" t="s">
        <v>38</v>
      </c>
      <c r="B52" s="22"/>
      <c r="C52" s="22"/>
      <c r="D52" s="26" t="s">
        <v>4</v>
      </c>
      <c r="E52" s="26" t="s">
        <v>4</v>
      </c>
      <c r="F52" s="26" t="s">
        <v>4</v>
      </c>
      <c r="G52" s="24">
        <v>3006</v>
      </c>
      <c r="H52" s="24">
        <v>18498</v>
      </c>
      <c r="I52" s="24">
        <v>18096</v>
      </c>
      <c r="J52" s="24">
        <v>21133</v>
      </c>
    </row>
    <row r="53" spans="1:10" x14ac:dyDescent="0.3">
      <c r="A53" s="21" t="s">
        <v>39</v>
      </c>
      <c r="B53" s="22"/>
      <c r="C53" s="22"/>
      <c r="D53" s="24">
        <v>68630</v>
      </c>
      <c r="E53" s="25">
        <v>62156.29</v>
      </c>
      <c r="F53" s="24">
        <v>62397</v>
      </c>
      <c r="G53" s="24">
        <v>66584</v>
      </c>
      <c r="H53" s="24">
        <v>68144</v>
      </c>
      <c r="I53" s="24">
        <v>73377</v>
      </c>
      <c r="J53" s="24">
        <v>79377</v>
      </c>
    </row>
    <row r="54" spans="1:10" ht="28.8" x14ac:dyDescent="0.3">
      <c r="A54" s="21" t="s">
        <v>40</v>
      </c>
      <c r="B54" s="22"/>
      <c r="C54" s="22"/>
      <c r="D54" s="24">
        <v>22292</v>
      </c>
      <c r="E54" s="24">
        <v>32183</v>
      </c>
      <c r="F54" s="24">
        <v>34749</v>
      </c>
      <c r="G54" s="24">
        <v>36183</v>
      </c>
      <c r="H54" s="24">
        <v>42175</v>
      </c>
      <c r="I54" s="24">
        <v>57219</v>
      </c>
      <c r="J54" s="24">
        <v>54285</v>
      </c>
    </row>
    <row r="55" spans="1:10" s="31" customFormat="1" ht="28.8" x14ac:dyDescent="0.3">
      <c r="A55" s="27" t="s">
        <v>41</v>
      </c>
      <c r="B55" s="28" t="s">
        <v>150</v>
      </c>
      <c r="C55" s="28">
        <v>15</v>
      </c>
      <c r="D55" s="30">
        <v>22292</v>
      </c>
      <c r="E55" s="30">
        <v>32183</v>
      </c>
      <c r="F55" s="30">
        <v>34749</v>
      </c>
      <c r="G55" s="30">
        <v>36183</v>
      </c>
      <c r="H55" s="30">
        <v>15470</v>
      </c>
      <c r="I55" s="30">
        <v>15178</v>
      </c>
      <c r="J55" s="30">
        <v>14404</v>
      </c>
    </row>
    <row r="56" spans="1:10" s="31" customFormat="1" x14ac:dyDescent="0.3">
      <c r="A56" s="27" t="s">
        <v>150</v>
      </c>
      <c r="B56" s="28" t="s">
        <v>150</v>
      </c>
      <c r="C56" s="28">
        <v>15</v>
      </c>
      <c r="D56" s="30"/>
      <c r="E56" s="30"/>
      <c r="F56" s="30"/>
      <c r="G56" s="30"/>
      <c r="H56" s="30"/>
      <c r="I56" s="30"/>
      <c r="J56" s="30"/>
    </row>
    <row r="57" spans="1:10" s="31" customFormat="1" x14ac:dyDescent="0.3">
      <c r="A57" s="27"/>
      <c r="B57" s="28"/>
      <c r="C57" s="28"/>
      <c r="D57" s="30"/>
      <c r="E57" s="30"/>
      <c r="F57" s="30"/>
      <c r="G57" s="30"/>
      <c r="H57" s="30"/>
      <c r="I57" s="30"/>
      <c r="J57" s="30"/>
    </row>
    <row r="58" spans="1:10" s="31" customFormat="1" x14ac:dyDescent="0.3">
      <c r="A58" s="27" t="s">
        <v>163</v>
      </c>
      <c r="B58" s="28" t="s">
        <v>150</v>
      </c>
      <c r="C58" s="28">
        <v>15</v>
      </c>
      <c r="D58" s="30"/>
      <c r="E58" s="30"/>
      <c r="F58" s="30"/>
      <c r="G58" s="30"/>
      <c r="H58" s="30"/>
      <c r="I58" s="30"/>
      <c r="J58" s="30"/>
    </row>
    <row r="59" spans="1:10" s="31" customFormat="1" x14ac:dyDescent="0.3">
      <c r="A59" s="27" t="s">
        <v>164</v>
      </c>
      <c r="B59" s="28" t="s">
        <v>150</v>
      </c>
      <c r="C59" s="28">
        <v>15</v>
      </c>
      <c r="D59" s="30"/>
      <c r="E59" s="30"/>
      <c r="F59" s="30"/>
      <c r="G59" s="30"/>
      <c r="H59" s="30"/>
      <c r="I59" s="30"/>
      <c r="J59" s="30"/>
    </row>
    <row r="60" spans="1:10" s="31" customFormat="1" x14ac:dyDescent="0.3">
      <c r="A60" s="27"/>
      <c r="B60" s="28"/>
      <c r="C60" s="28"/>
      <c r="D60" s="30"/>
      <c r="E60" s="30"/>
      <c r="F60" s="30"/>
      <c r="G60" s="30"/>
      <c r="H60" s="30"/>
      <c r="I60" s="30"/>
      <c r="J60" s="30"/>
    </row>
    <row r="61" spans="1:10" x14ac:dyDescent="0.3">
      <c r="A61" s="21" t="s">
        <v>42</v>
      </c>
      <c r="B61" s="22" t="s">
        <v>151</v>
      </c>
      <c r="C61" s="22">
        <v>12</v>
      </c>
      <c r="D61" s="26" t="s">
        <v>4</v>
      </c>
      <c r="E61" s="26" t="s">
        <v>4</v>
      </c>
      <c r="F61" s="26" t="s">
        <v>4</v>
      </c>
      <c r="G61" s="26" t="s">
        <v>4</v>
      </c>
      <c r="H61" s="24">
        <v>1350</v>
      </c>
      <c r="I61" s="24">
        <v>5948</v>
      </c>
      <c r="J61" s="24">
        <v>4625</v>
      </c>
    </row>
    <row r="62" spans="1:10" x14ac:dyDescent="0.3">
      <c r="A62" s="21" t="s">
        <v>43</v>
      </c>
      <c r="B62" s="22" t="s">
        <v>151</v>
      </c>
      <c r="C62" s="22">
        <v>12</v>
      </c>
      <c r="D62" s="26" t="s">
        <v>4</v>
      </c>
      <c r="E62" s="26" t="s">
        <v>4</v>
      </c>
      <c r="F62" s="26" t="s">
        <v>4</v>
      </c>
      <c r="G62" s="23" t="s">
        <v>4</v>
      </c>
      <c r="H62" s="24">
        <v>19831</v>
      </c>
      <c r="I62" s="24">
        <v>17010</v>
      </c>
      <c r="J62" s="24">
        <v>14673</v>
      </c>
    </row>
    <row r="63" spans="1:10" x14ac:dyDescent="0.3">
      <c r="A63" s="21" t="s">
        <v>44</v>
      </c>
      <c r="B63" s="22"/>
      <c r="C63" s="22"/>
      <c r="D63" s="26" t="s">
        <v>4</v>
      </c>
      <c r="E63" s="26" t="s">
        <v>4</v>
      </c>
      <c r="F63" s="26" t="s">
        <v>4</v>
      </c>
      <c r="G63" s="26" t="s">
        <v>4</v>
      </c>
      <c r="H63" s="24">
        <v>4831</v>
      </c>
      <c r="I63" s="24">
        <v>12463</v>
      </c>
      <c r="J63" s="24">
        <v>14417</v>
      </c>
    </row>
    <row r="64" spans="1:10" s="31" customFormat="1" x14ac:dyDescent="0.3">
      <c r="A64" s="27" t="s">
        <v>165</v>
      </c>
      <c r="B64" s="28" t="s">
        <v>153</v>
      </c>
      <c r="C64" s="28">
        <v>7</v>
      </c>
      <c r="D64" s="29"/>
      <c r="E64" s="29"/>
      <c r="F64" s="29"/>
      <c r="G64" s="29"/>
      <c r="H64" s="30"/>
      <c r="I64" s="30"/>
      <c r="J64" s="30"/>
    </row>
    <row r="65" spans="1:10" s="31" customFormat="1" x14ac:dyDescent="0.3">
      <c r="A65" s="27" t="s">
        <v>166</v>
      </c>
      <c r="B65" s="28" t="s">
        <v>153</v>
      </c>
      <c r="C65" s="28">
        <v>7</v>
      </c>
      <c r="D65" s="29"/>
      <c r="E65" s="29"/>
      <c r="F65" s="29"/>
      <c r="G65" s="29"/>
      <c r="H65" s="30"/>
      <c r="I65" s="30"/>
      <c r="J65" s="30"/>
    </row>
    <row r="66" spans="1:10" s="31" customFormat="1" x14ac:dyDescent="0.3">
      <c r="A66" s="27" t="s">
        <v>167</v>
      </c>
      <c r="B66" s="28" t="s">
        <v>153</v>
      </c>
      <c r="C66" s="28">
        <v>7</v>
      </c>
      <c r="D66" s="29"/>
      <c r="E66" s="29"/>
      <c r="F66" s="29"/>
      <c r="G66" s="29"/>
      <c r="H66" s="30"/>
      <c r="I66" s="30"/>
      <c r="J66" s="30"/>
    </row>
    <row r="67" spans="1:10" s="31" customFormat="1" x14ac:dyDescent="0.3">
      <c r="A67" s="27" t="s">
        <v>168</v>
      </c>
      <c r="B67" s="28" t="s">
        <v>153</v>
      </c>
      <c r="C67" s="28">
        <v>7</v>
      </c>
      <c r="D67" s="29"/>
      <c r="E67" s="29"/>
      <c r="F67" s="29"/>
      <c r="G67" s="29"/>
      <c r="H67" s="30"/>
      <c r="I67" s="30"/>
      <c r="J67" s="30"/>
    </row>
    <row r="68" spans="1:10" s="31" customFormat="1" x14ac:dyDescent="0.3">
      <c r="A68" s="27" t="s">
        <v>169</v>
      </c>
      <c r="B68" s="28" t="s">
        <v>153</v>
      </c>
      <c r="C68" s="28">
        <v>7</v>
      </c>
      <c r="D68" s="29"/>
      <c r="E68" s="29"/>
      <c r="F68" s="29"/>
      <c r="G68" s="29"/>
      <c r="H68" s="30"/>
      <c r="I68" s="30"/>
      <c r="J68" s="30"/>
    </row>
    <row r="69" spans="1:10" s="31" customFormat="1" x14ac:dyDescent="0.3">
      <c r="A69" s="27" t="s">
        <v>170</v>
      </c>
      <c r="B69" s="28" t="s">
        <v>153</v>
      </c>
      <c r="C69" s="28">
        <v>7</v>
      </c>
      <c r="D69" s="29"/>
      <c r="E69" s="29"/>
      <c r="F69" s="29"/>
      <c r="G69" s="29"/>
      <c r="H69" s="30"/>
      <c r="I69" s="30"/>
      <c r="J69" s="30"/>
    </row>
    <row r="70" spans="1:10" s="31" customFormat="1" x14ac:dyDescent="0.3">
      <c r="A70" s="27" t="s">
        <v>108</v>
      </c>
      <c r="B70" s="28" t="s">
        <v>108</v>
      </c>
      <c r="C70" s="28">
        <v>21</v>
      </c>
      <c r="D70" s="29"/>
      <c r="E70" s="29"/>
      <c r="F70" s="29"/>
      <c r="G70" s="29"/>
      <c r="H70" s="30"/>
      <c r="I70" s="30"/>
      <c r="J70" s="30"/>
    </row>
    <row r="71" spans="1:10" x14ac:dyDescent="0.3">
      <c r="A71" s="21" t="s">
        <v>45</v>
      </c>
      <c r="B71" s="22"/>
      <c r="C71" s="22"/>
      <c r="D71" s="26" t="s">
        <v>4</v>
      </c>
      <c r="E71" s="26" t="s">
        <v>4</v>
      </c>
      <c r="F71" s="26" t="s">
        <v>4</v>
      </c>
      <c r="G71" s="26" t="s">
        <v>4</v>
      </c>
      <c r="H71" s="21">
        <v>693</v>
      </c>
      <c r="I71" s="24">
        <v>6619</v>
      </c>
      <c r="J71" s="24">
        <v>6166</v>
      </c>
    </row>
    <row r="72" spans="1:10" s="31" customFormat="1" x14ac:dyDescent="0.3">
      <c r="A72" s="27" t="s">
        <v>111</v>
      </c>
      <c r="B72" s="28" t="s">
        <v>152</v>
      </c>
      <c r="C72" s="28">
        <v>18</v>
      </c>
      <c r="D72" s="29"/>
      <c r="E72" s="29"/>
      <c r="F72" s="29"/>
      <c r="G72" s="29"/>
      <c r="H72" s="27"/>
      <c r="I72" s="30"/>
      <c r="J72" s="30"/>
    </row>
    <row r="73" spans="1:10" s="31" customFormat="1" x14ac:dyDescent="0.3">
      <c r="A73" s="27" t="s">
        <v>152</v>
      </c>
      <c r="B73" s="28" t="s">
        <v>152</v>
      </c>
      <c r="C73" s="28">
        <v>18</v>
      </c>
      <c r="D73" s="29"/>
      <c r="E73" s="29"/>
      <c r="F73" s="29"/>
      <c r="G73" s="29"/>
      <c r="H73" s="27"/>
      <c r="I73" s="30"/>
      <c r="J73" s="30"/>
    </row>
    <row r="74" spans="1:10" x14ac:dyDescent="0.3">
      <c r="A74" s="21" t="s">
        <v>46</v>
      </c>
      <c r="B74" s="22"/>
      <c r="C74" s="22"/>
      <c r="D74" s="24">
        <v>90922</v>
      </c>
      <c r="E74" s="24">
        <v>94340</v>
      </c>
      <c r="F74" s="24">
        <v>97146</v>
      </c>
      <c r="G74" s="24">
        <v>102767</v>
      </c>
      <c r="H74" s="24">
        <v>110319</v>
      </c>
      <c r="I74" s="24">
        <v>130596</v>
      </c>
      <c r="J74" s="24">
        <v>133662</v>
      </c>
    </row>
    <row r="75" spans="1:10" x14ac:dyDescent="0.3">
      <c r="A75" s="21" t="s">
        <v>47</v>
      </c>
      <c r="B75" s="22"/>
      <c r="C75" s="22"/>
      <c r="D75" s="24">
        <v>105025</v>
      </c>
      <c r="E75" s="24">
        <v>92330</v>
      </c>
      <c r="F75" s="24">
        <v>87634</v>
      </c>
      <c r="G75" s="24">
        <v>74854</v>
      </c>
      <c r="H75" s="24">
        <v>67128</v>
      </c>
      <c r="I75" s="24">
        <v>52025</v>
      </c>
      <c r="J75" s="24">
        <v>50659</v>
      </c>
    </row>
    <row r="76" spans="1:10" x14ac:dyDescent="0.3">
      <c r="A76" s="21" t="s">
        <v>48</v>
      </c>
      <c r="B76" s="22"/>
      <c r="C76" s="22"/>
      <c r="D76" s="24">
        <v>195948</v>
      </c>
      <c r="E76" s="24">
        <v>186669</v>
      </c>
      <c r="F76" s="24">
        <v>184780</v>
      </c>
      <c r="G76" s="24">
        <v>177620</v>
      </c>
      <c r="H76" s="24">
        <v>177447</v>
      </c>
      <c r="I76" s="24">
        <v>182621</v>
      </c>
      <c r="J76" s="24">
        <v>184321</v>
      </c>
    </row>
    <row r="77" spans="1:10" x14ac:dyDescent="0.3">
      <c r="A77" s="21" t="s">
        <v>49</v>
      </c>
      <c r="B77" s="22"/>
      <c r="C77" s="22"/>
      <c r="D77" s="21">
        <v>534</v>
      </c>
      <c r="E77" s="21">
        <v>511</v>
      </c>
      <c r="F77" s="21">
        <v>505</v>
      </c>
      <c r="G77" s="21">
        <v>485</v>
      </c>
      <c r="H77" s="21">
        <v>484</v>
      </c>
      <c r="I77" s="21">
        <v>542</v>
      </c>
      <c r="J77" s="21">
        <v>556</v>
      </c>
    </row>
    <row r="78" spans="1:10" x14ac:dyDescent="0.3">
      <c r="A78" s="33" t="s">
        <v>34</v>
      </c>
      <c r="B78" s="34"/>
      <c r="C78" s="34"/>
      <c r="D78" s="35"/>
      <c r="E78" s="35"/>
      <c r="F78" s="35"/>
      <c r="G78" s="35"/>
      <c r="H78" s="35"/>
      <c r="I78" s="35"/>
      <c r="J78" s="35"/>
    </row>
    <row r="79" spans="1:10" x14ac:dyDescent="0.3">
      <c r="A79" s="19" t="s">
        <v>122</v>
      </c>
    </row>
    <row r="80" spans="1:10" x14ac:dyDescent="0.3">
      <c r="A80" s="19" t="s">
        <v>123</v>
      </c>
    </row>
    <row r="81" spans="1:1" x14ac:dyDescent="0.3">
      <c r="A81" s="19" t="s">
        <v>124</v>
      </c>
    </row>
    <row r="82" spans="1:1" x14ac:dyDescent="0.3">
      <c r="A82" s="19" t="s">
        <v>125</v>
      </c>
    </row>
    <row r="83" spans="1:1" x14ac:dyDescent="0.3">
      <c r="A83" s="19" t="s">
        <v>126</v>
      </c>
    </row>
    <row r="84" spans="1:1" x14ac:dyDescent="0.3">
      <c r="A84" s="19" t="s">
        <v>127</v>
      </c>
    </row>
    <row r="85" spans="1:1" x14ac:dyDescent="0.3">
      <c r="A85" s="19" t="s">
        <v>128</v>
      </c>
    </row>
    <row r="86" spans="1:1" x14ac:dyDescent="0.3">
      <c r="A86" s="19" t="s">
        <v>129</v>
      </c>
    </row>
    <row r="87" spans="1:1" x14ac:dyDescent="0.3">
      <c r="A87" s="19" t="s">
        <v>130</v>
      </c>
    </row>
    <row r="88" spans="1:1" x14ac:dyDescent="0.3">
      <c r="A88" s="19" t="s">
        <v>131</v>
      </c>
    </row>
  </sheetData>
  <hyperlinks>
    <hyperlink ref="A2" r:id="rId1" xr:uid="{00000000-0004-0000-0000-000000000000}"/>
    <hyperlink ref="A3" r:id="rId2" xr:uid="{00000000-0004-0000-0000-000001000000}"/>
    <hyperlink ref="A4" r:id="rId3" xr:uid="{00000000-0004-0000-0000-000002000000}"/>
    <hyperlink ref="A1" r:id="rId4" xr:uid="{00000000-0004-0000-0000-000003000000}"/>
    <hyperlink ref="B6" r:id="rId5" xr:uid="{00000000-0004-0000-0000-000004000000}"/>
    <hyperlink ref="A5" r:id="rId6" xr:uid="{C15F0FAD-A1B8-4D8B-922A-5186E0CF6DCB}"/>
  </hyperlinks>
  <pageMargins left="0.7" right="0.7" top="0.75" bottom="0.75" header="0.3" footer="0.3"/>
  <pageSetup paperSize="9" orientation="portrait" horizontalDpi="4294967293" verticalDpi="4294967293" r:id="rId7"/>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D3"/>
  <sheetViews>
    <sheetView workbookViewId="0">
      <selection activeCell="E2" sqref="E2"/>
    </sheetView>
  </sheetViews>
  <sheetFormatPr defaultRowHeight="14.4" x14ac:dyDescent="0.3"/>
  <sheetData>
    <row r="1" spans="1:4" x14ac:dyDescent="0.3">
      <c r="A1" t="s">
        <v>604</v>
      </c>
      <c r="D1" t="s">
        <v>610</v>
      </c>
    </row>
    <row r="2" spans="1:4" x14ac:dyDescent="0.3">
      <c r="A2" t="s">
        <v>605</v>
      </c>
      <c r="B2" t="s">
        <v>606</v>
      </c>
    </row>
    <row r="3" spans="1:4" x14ac:dyDescent="0.3">
      <c r="A3">
        <v>100</v>
      </c>
      <c r="B3">
        <f>A3*100</f>
        <v>10000</v>
      </c>
      <c r="C3">
        <f>5258.29/4000</f>
        <v>1.3145724999999999</v>
      </c>
      <c r="D3">
        <f>B3*C3*0.15</f>
        <v>1971.8587499999996</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E11"/>
  <sheetViews>
    <sheetView topLeftCell="F25" workbookViewId="0">
      <selection activeCell="E6" sqref="E6"/>
    </sheetView>
  </sheetViews>
  <sheetFormatPr defaultRowHeight="14.4" x14ac:dyDescent="0.3"/>
  <cols>
    <col min="2" max="2" width="11" bestFit="1" customWidth="1"/>
    <col min="3" max="4" width="11" customWidth="1"/>
  </cols>
  <sheetData>
    <row r="1" spans="1:5" x14ac:dyDescent="0.3">
      <c r="C1" t="s">
        <v>460</v>
      </c>
      <c r="D1" t="s">
        <v>461</v>
      </c>
    </row>
    <row r="2" spans="1:5" x14ac:dyDescent="0.3">
      <c r="A2" t="s">
        <v>394</v>
      </c>
      <c r="B2">
        <v>5902298</v>
      </c>
      <c r="C2">
        <f t="shared" ref="C2:C3" si="0">B2/20</f>
        <v>295114.90000000002</v>
      </c>
      <c r="D2">
        <f t="shared" ref="D2:D3" si="1">C2/365</f>
        <v>808.53397260273982</v>
      </c>
      <c r="E2" s="5" t="s">
        <v>464</v>
      </c>
    </row>
    <row r="3" spans="1:5" x14ac:dyDescent="0.3">
      <c r="A3" t="s">
        <v>395</v>
      </c>
      <c r="B3">
        <v>2379627</v>
      </c>
      <c r="C3">
        <f t="shared" si="0"/>
        <v>118981.35</v>
      </c>
      <c r="D3">
        <f t="shared" si="1"/>
        <v>325.97630136986305</v>
      </c>
      <c r="E3" s="5" t="s">
        <v>464</v>
      </c>
    </row>
    <row r="4" spans="1:5" x14ac:dyDescent="0.3">
      <c r="A4" t="s">
        <v>250</v>
      </c>
      <c r="B4">
        <v>1670000000</v>
      </c>
      <c r="C4">
        <f>B4/20</f>
        <v>83500000</v>
      </c>
      <c r="D4">
        <f>C4/365</f>
        <v>228767.12328767125</v>
      </c>
      <c r="E4" s="5" t="s">
        <v>459</v>
      </c>
    </row>
    <row r="5" spans="1:5" x14ac:dyDescent="0.3">
      <c r="A5" t="s">
        <v>458</v>
      </c>
      <c r="B5">
        <v>800000000</v>
      </c>
      <c r="C5">
        <f t="shared" ref="C5:C11" si="2">B5/20</f>
        <v>40000000</v>
      </c>
      <c r="D5">
        <f t="shared" ref="D5:D11" si="3">C5/365</f>
        <v>109589.04109589041</v>
      </c>
      <c r="E5" s="5" t="s">
        <v>594</v>
      </c>
    </row>
    <row r="6" spans="1:5" x14ac:dyDescent="0.3">
      <c r="A6" t="s">
        <v>458</v>
      </c>
      <c r="B6">
        <v>369000000</v>
      </c>
      <c r="C6">
        <f t="shared" si="2"/>
        <v>18450000</v>
      </c>
      <c r="D6">
        <f t="shared" si="3"/>
        <v>50547.945205479453</v>
      </c>
      <c r="E6" s="5" t="s">
        <v>608</v>
      </c>
    </row>
    <row r="7" spans="1:5" x14ac:dyDescent="0.3">
      <c r="B7">
        <f>SUM(B4:B5)</f>
        <v>2470000000</v>
      </c>
      <c r="C7">
        <f t="shared" si="2"/>
        <v>123500000</v>
      </c>
      <c r="D7">
        <f t="shared" si="3"/>
        <v>338356.16438356164</v>
      </c>
    </row>
    <row r="8" spans="1:5" x14ac:dyDescent="0.3">
      <c r="A8" t="s">
        <v>590</v>
      </c>
      <c r="B8">
        <v>6400000000</v>
      </c>
      <c r="C8">
        <f t="shared" si="2"/>
        <v>320000000</v>
      </c>
      <c r="D8">
        <f t="shared" si="3"/>
        <v>876712.32876712328</v>
      </c>
      <c r="E8" s="5" t="s">
        <v>599</v>
      </c>
    </row>
    <row r="9" spans="1:5" x14ac:dyDescent="0.3">
      <c r="A9" t="s">
        <v>590</v>
      </c>
      <c r="B9">
        <v>745000000</v>
      </c>
      <c r="C9">
        <f t="shared" si="2"/>
        <v>37250000</v>
      </c>
      <c r="D9">
        <f t="shared" si="3"/>
        <v>102054.79452054795</v>
      </c>
      <c r="E9" s="5" t="s">
        <v>608</v>
      </c>
    </row>
    <row r="10" spans="1:5" x14ac:dyDescent="0.3">
      <c r="A10" t="s">
        <v>448</v>
      </c>
      <c r="B10">
        <v>4000000000</v>
      </c>
      <c r="C10">
        <f t="shared" si="2"/>
        <v>200000000</v>
      </c>
      <c r="D10">
        <f t="shared" si="3"/>
        <v>547945.20547945204</v>
      </c>
      <c r="E10" s="5" t="s">
        <v>459</v>
      </c>
    </row>
    <row r="11" spans="1:5" x14ac:dyDescent="0.3">
      <c r="B11">
        <v>3437000000</v>
      </c>
      <c r="C11">
        <f t="shared" si="2"/>
        <v>171850000</v>
      </c>
      <c r="D11">
        <f t="shared" si="3"/>
        <v>470821.91780821915</v>
      </c>
    </row>
  </sheetData>
  <hyperlinks>
    <hyperlink ref="E4" r:id="rId1" xr:uid="{00000000-0004-0000-0A00-000000000000}"/>
    <hyperlink ref="E10" r:id="rId2" xr:uid="{00000000-0004-0000-0A00-000001000000}"/>
    <hyperlink ref="E2" r:id="rId3" xr:uid="{00000000-0004-0000-0A00-000002000000}"/>
    <hyperlink ref="E3" r:id="rId4" xr:uid="{00000000-0004-0000-0A00-000003000000}"/>
    <hyperlink ref="E8" r:id="rId5" xr:uid="{00000000-0004-0000-0A00-000004000000}"/>
    <hyperlink ref="E6" r:id="rId6" xr:uid="{00000000-0004-0000-0A00-000005000000}"/>
    <hyperlink ref="E5" r:id="rId7" xr:uid="{00000000-0004-0000-0A00-000006000000}"/>
    <hyperlink ref="E9" r:id="rId8" xr:uid="{00000000-0004-0000-0A00-000007000000}"/>
  </hyperlinks>
  <pageMargins left="0.7" right="0.7" top="0.75" bottom="0.75" header="0.3" footer="0.3"/>
  <drawing r:id="rId9"/>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E53"/>
  <sheetViews>
    <sheetView zoomScale="55" zoomScaleNormal="55" workbookViewId="0">
      <selection activeCell="I7" sqref="I7"/>
    </sheetView>
  </sheetViews>
  <sheetFormatPr defaultRowHeight="14.4" x14ac:dyDescent="0.3"/>
  <sheetData>
    <row r="1" spans="1:5" x14ac:dyDescent="0.3">
      <c r="D1" t="s">
        <v>64</v>
      </c>
      <c r="E1" s="5" t="s">
        <v>65</v>
      </c>
    </row>
    <row r="2" spans="1:5" x14ac:dyDescent="0.3">
      <c r="A2" s="6" t="s">
        <v>50</v>
      </c>
    </row>
    <row r="4" spans="1:5" x14ac:dyDescent="0.3">
      <c r="A4" t="s">
        <v>51</v>
      </c>
    </row>
    <row r="5" spans="1:5" x14ac:dyDescent="0.3">
      <c r="A5" t="s">
        <v>17</v>
      </c>
    </row>
    <row r="6" spans="1:5" x14ac:dyDescent="0.3">
      <c r="A6" t="s">
        <v>52</v>
      </c>
    </row>
    <row r="7" spans="1:5" x14ac:dyDescent="0.3">
      <c r="A7" t="s">
        <v>12</v>
      </c>
    </row>
    <row r="9" spans="1:5" x14ac:dyDescent="0.3">
      <c r="A9" t="s">
        <v>53</v>
      </c>
    </row>
    <row r="10" spans="1:5" x14ac:dyDescent="0.3">
      <c r="A10" t="s">
        <v>11</v>
      </c>
    </row>
    <row r="11" spans="1:5" x14ac:dyDescent="0.3">
      <c r="A11" t="s">
        <v>29</v>
      </c>
    </row>
    <row r="12" spans="1:5" x14ac:dyDescent="0.3">
      <c r="A12" t="s">
        <v>30</v>
      </c>
    </row>
    <row r="13" spans="1:5" x14ac:dyDescent="0.3">
      <c r="A13" t="s">
        <v>23</v>
      </c>
    </row>
    <row r="14" spans="1:5" x14ac:dyDescent="0.3">
      <c r="A14" t="s">
        <v>20</v>
      </c>
    </row>
    <row r="15" spans="1:5" x14ac:dyDescent="0.3">
      <c r="A15" t="s">
        <v>19</v>
      </c>
    </row>
    <row r="16" spans="1:5" x14ac:dyDescent="0.3">
      <c r="A16" t="s">
        <v>22</v>
      </c>
    </row>
    <row r="17" spans="1:1" x14ac:dyDescent="0.3">
      <c r="A17" t="s">
        <v>21</v>
      </c>
    </row>
    <row r="18" spans="1:1" x14ac:dyDescent="0.3">
      <c r="A18" t="s">
        <v>54</v>
      </c>
    </row>
    <row r="20" spans="1:1" x14ac:dyDescent="0.3">
      <c r="A20" t="s">
        <v>55</v>
      </c>
    </row>
    <row r="21" spans="1:1" x14ac:dyDescent="0.3">
      <c r="A21" t="s">
        <v>56</v>
      </c>
    </row>
    <row r="22" spans="1:1" x14ac:dyDescent="0.3">
      <c r="A22" t="s">
        <v>26</v>
      </c>
    </row>
    <row r="23" spans="1:1" x14ac:dyDescent="0.3">
      <c r="A23" t="s">
        <v>25</v>
      </c>
    </row>
    <row r="24" spans="1:1" x14ac:dyDescent="0.3">
      <c r="A24" t="s">
        <v>57</v>
      </c>
    </row>
    <row r="25" spans="1:1" x14ac:dyDescent="0.3">
      <c r="A25" t="s">
        <v>58</v>
      </c>
    </row>
    <row r="26" spans="1:1" x14ac:dyDescent="0.3">
      <c r="A26" t="s">
        <v>59</v>
      </c>
    </row>
    <row r="27" spans="1:1" x14ac:dyDescent="0.3">
      <c r="A27" t="s">
        <v>60</v>
      </c>
    </row>
    <row r="28" spans="1:1" x14ac:dyDescent="0.3">
      <c r="A28" t="s">
        <v>5</v>
      </c>
    </row>
    <row r="29" spans="1:1" x14ac:dyDescent="0.3">
      <c r="A29" t="s">
        <v>9</v>
      </c>
    </row>
    <row r="30" spans="1:1" x14ac:dyDescent="0.3">
      <c r="A30" t="s">
        <v>61</v>
      </c>
    </row>
    <row r="31" spans="1:1" x14ac:dyDescent="0.3">
      <c r="A31" t="s">
        <v>7</v>
      </c>
    </row>
    <row r="32" spans="1:1" x14ac:dyDescent="0.3">
      <c r="A32" t="s">
        <v>8</v>
      </c>
    </row>
    <row r="34" spans="1:1" x14ac:dyDescent="0.3">
      <c r="A34" t="s">
        <v>67</v>
      </c>
    </row>
    <row r="35" spans="1:1" x14ac:dyDescent="0.3">
      <c r="A35" t="s">
        <v>5</v>
      </c>
    </row>
    <row r="36" spans="1:1" x14ac:dyDescent="0.3">
      <c r="A36" t="s">
        <v>9</v>
      </c>
    </row>
    <row r="37" spans="1:1" x14ac:dyDescent="0.3">
      <c r="A37" t="s">
        <v>61</v>
      </c>
    </row>
    <row r="38" spans="1:1" x14ac:dyDescent="0.3">
      <c r="A38" t="s">
        <v>7</v>
      </c>
    </row>
    <row r="39" spans="1:1" x14ac:dyDescent="0.3">
      <c r="A39" t="s">
        <v>8</v>
      </c>
    </row>
    <row r="41" spans="1:1" x14ac:dyDescent="0.3">
      <c r="A41" t="s">
        <v>62</v>
      </c>
    </row>
    <row r="42" spans="1:1" x14ac:dyDescent="0.3">
      <c r="A42" t="s">
        <v>63</v>
      </c>
    </row>
    <row r="43" spans="1:1" x14ac:dyDescent="0.3">
      <c r="A43" t="s">
        <v>18</v>
      </c>
    </row>
    <row r="44" spans="1:1" x14ac:dyDescent="0.3">
      <c r="A44" t="s">
        <v>16</v>
      </c>
    </row>
    <row r="45" spans="1:1" x14ac:dyDescent="0.3">
      <c r="A45" t="s">
        <v>15</v>
      </c>
    </row>
    <row r="46" spans="1:1" x14ac:dyDescent="0.3">
      <c r="A46" t="s">
        <v>13</v>
      </c>
    </row>
    <row r="47" spans="1:1" x14ac:dyDescent="0.3">
      <c r="A47" t="s">
        <v>14</v>
      </c>
    </row>
    <row r="48" spans="1:1" x14ac:dyDescent="0.3">
      <c r="A48" t="s">
        <v>31</v>
      </c>
    </row>
    <row r="50" spans="1:1" x14ac:dyDescent="0.3">
      <c r="A50" t="s">
        <v>69</v>
      </c>
    </row>
    <row r="52" spans="1:1" x14ac:dyDescent="0.3">
      <c r="A52" t="s">
        <v>68</v>
      </c>
    </row>
    <row r="53" spans="1:1" x14ac:dyDescent="0.3">
      <c r="A53" t="s">
        <v>66</v>
      </c>
    </row>
  </sheetData>
  <hyperlinks>
    <hyperlink ref="E1" r:id="rId1" xr:uid="{00000000-0004-0000-0B00-000000000000}"/>
  </hyperlinks>
  <pageMargins left="0.7" right="0.7" top="0.75" bottom="0.75" header="0.3" footer="0.3"/>
  <pageSetup paperSize="9" orientation="portrait" horizontalDpi="4294967293" verticalDpi="4294967293"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Z7:Z8"/>
  <sheetViews>
    <sheetView zoomScale="40" zoomScaleNormal="40" workbookViewId="0">
      <selection activeCell="Z7" sqref="Z7"/>
    </sheetView>
  </sheetViews>
  <sheetFormatPr defaultRowHeight="14.4" x14ac:dyDescent="0.3"/>
  <sheetData>
    <row r="7" spans="26:26" x14ac:dyDescent="0.3">
      <c r="Z7" t="s">
        <v>301</v>
      </c>
    </row>
    <row r="8" spans="26:26" x14ac:dyDescent="0.3">
      <c r="Z8" t="s">
        <v>298</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6:J49"/>
  <sheetViews>
    <sheetView topLeftCell="A25" workbookViewId="0">
      <selection activeCell="A2" sqref="A2"/>
    </sheetView>
  </sheetViews>
  <sheetFormatPr defaultRowHeight="14.4" x14ac:dyDescent="0.3"/>
  <cols>
    <col min="1" max="1" width="36.44140625" customWidth="1"/>
  </cols>
  <sheetData>
    <row r="6" spans="1:10" x14ac:dyDescent="0.3">
      <c r="A6" s="1" t="s">
        <v>0</v>
      </c>
      <c r="B6" s="1">
        <v>2006</v>
      </c>
      <c r="C6" s="1">
        <v>2007</v>
      </c>
      <c r="D6" s="1">
        <v>2008</v>
      </c>
      <c r="E6" s="1">
        <v>2009</v>
      </c>
      <c r="F6" s="1">
        <v>2010</v>
      </c>
      <c r="G6" s="1">
        <v>2011</v>
      </c>
      <c r="H6" s="1">
        <v>2012</v>
      </c>
      <c r="I6" s="13">
        <v>2013</v>
      </c>
    </row>
    <row r="7" spans="1:10" s="6" customFormat="1" x14ac:dyDescent="0.3">
      <c r="A7" s="10" t="s">
        <v>1</v>
      </c>
      <c r="B7" s="11">
        <v>68630</v>
      </c>
      <c r="C7" s="11">
        <v>62156</v>
      </c>
      <c r="D7" s="11">
        <v>62397</v>
      </c>
      <c r="E7" s="11">
        <v>63577</v>
      </c>
      <c r="F7" s="11">
        <v>49646</v>
      </c>
      <c r="G7" s="11">
        <v>55281</v>
      </c>
      <c r="H7" s="12">
        <v>58243.72</v>
      </c>
    </row>
    <row r="8" spans="1:10" x14ac:dyDescent="0.3">
      <c r="A8" s="1" t="s">
        <v>2</v>
      </c>
      <c r="B8" s="2">
        <v>1497</v>
      </c>
      <c r="C8" s="2">
        <v>1339</v>
      </c>
      <c r="D8" s="2">
        <v>1377</v>
      </c>
      <c r="E8" s="2">
        <v>1429</v>
      </c>
      <c r="F8" s="2">
        <v>1370</v>
      </c>
      <c r="G8" s="2">
        <v>1136</v>
      </c>
      <c r="H8" s="2">
        <v>1367</v>
      </c>
    </row>
    <row r="9" spans="1:10" x14ac:dyDescent="0.3">
      <c r="A9" s="1" t="s">
        <v>3</v>
      </c>
      <c r="B9" s="2">
        <v>16163</v>
      </c>
      <c r="C9" s="2">
        <v>15896</v>
      </c>
      <c r="D9" s="2">
        <v>16602</v>
      </c>
      <c r="E9" s="2">
        <v>17931</v>
      </c>
      <c r="F9" s="2">
        <v>18495</v>
      </c>
      <c r="G9" s="2">
        <v>18075</v>
      </c>
      <c r="H9" s="2">
        <v>21114</v>
      </c>
    </row>
    <row r="10" spans="1:10" x14ac:dyDescent="0.3">
      <c r="A10" s="1" t="s">
        <v>5</v>
      </c>
      <c r="B10" s="2">
        <v>17361</v>
      </c>
      <c r="C10" s="2">
        <v>15748</v>
      </c>
      <c r="D10" s="2">
        <v>15508</v>
      </c>
      <c r="E10" s="2">
        <v>16344</v>
      </c>
      <c r="F10" s="2">
        <v>16255</v>
      </c>
      <c r="G10" s="2">
        <v>14224</v>
      </c>
      <c r="H10" s="2">
        <v>14578</v>
      </c>
      <c r="J10" s="14"/>
    </row>
    <row r="11" spans="1:10" x14ac:dyDescent="0.3">
      <c r="A11" s="1" t="s">
        <v>132</v>
      </c>
      <c r="B11" s="4" t="s">
        <v>4</v>
      </c>
      <c r="C11" s="4" t="s">
        <v>4</v>
      </c>
      <c r="D11" s="4" t="s">
        <v>4</v>
      </c>
      <c r="E11" s="4" t="s">
        <v>4</v>
      </c>
      <c r="F11" s="4" t="s">
        <v>4</v>
      </c>
      <c r="G11" s="2">
        <v>2842</v>
      </c>
      <c r="H11" s="2">
        <v>2865</v>
      </c>
    </row>
    <row r="12" spans="1:10" x14ac:dyDescent="0.3">
      <c r="A12" s="1" t="s">
        <v>7</v>
      </c>
      <c r="B12" s="4" t="s">
        <v>4</v>
      </c>
      <c r="C12" s="4" t="s">
        <v>4</v>
      </c>
      <c r="D12" s="4" t="s">
        <v>4</v>
      </c>
      <c r="E12" s="4" t="s">
        <v>4</v>
      </c>
      <c r="F12" s="4" t="s">
        <v>4</v>
      </c>
      <c r="G12" s="1">
        <v>28</v>
      </c>
      <c r="H12" s="1">
        <v>13</v>
      </c>
    </row>
    <row r="13" spans="1:10" x14ac:dyDescent="0.3">
      <c r="A13" s="1" t="s">
        <v>8</v>
      </c>
      <c r="B13" s="4" t="s">
        <v>4</v>
      </c>
      <c r="C13" s="4" t="s">
        <v>4</v>
      </c>
      <c r="D13" s="4" t="s">
        <v>4</v>
      </c>
      <c r="E13" s="4" t="s">
        <v>4</v>
      </c>
      <c r="F13" s="4" t="s">
        <v>4</v>
      </c>
      <c r="G13" s="1">
        <v>132</v>
      </c>
      <c r="H13" s="1">
        <v>150</v>
      </c>
    </row>
    <row r="14" spans="1:10" x14ac:dyDescent="0.3">
      <c r="A14" s="1" t="s">
        <v>9</v>
      </c>
      <c r="B14" s="1">
        <v>506</v>
      </c>
      <c r="C14" s="1">
        <v>452</v>
      </c>
      <c r="D14" s="1">
        <v>416</v>
      </c>
      <c r="E14" s="1">
        <v>518</v>
      </c>
      <c r="F14" s="1">
        <v>596</v>
      </c>
      <c r="G14" s="2">
        <v>1750</v>
      </c>
      <c r="H14" s="2">
        <v>2449</v>
      </c>
    </row>
    <row r="15" spans="1:10" x14ac:dyDescent="0.3">
      <c r="A15" s="1" t="s">
        <v>10</v>
      </c>
      <c r="B15" s="2">
        <v>7084</v>
      </c>
      <c r="C15" s="2">
        <v>6109</v>
      </c>
      <c r="D15" s="2">
        <v>6145</v>
      </c>
      <c r="E15" s="2">
        <v>6761</v>
      </c>
      <c r="F15" s="2">
        <v>7272</v>
      </c>
      <c r="G15" s="2">
        <v>10235</v>
      </c>
      <c r="H15" s="2">
        <v>11696</v>
      </c>
    </row>
    <row r="16" spans="1:10" x14ac:dyDescent="0.3">
      <c r="A16" s="1" t="s">
        <v>11</v>
      </c>
      <c r="B16" s="2">
        <v>2444</v>
      </c>
      <c r="C16" s="2">
        <v>1563</v>
      </c>
      <c r="D16" s="2">
        <v>1433</v>
      </c>
      <c r="E16" s="2">
        <v>1197</v>
      </c>
      <c r="F16" s="2">
        <v>1016</v>
      </c>
      <c r="G16" s="2">
        <v>1707</v>
      </c>
      <c r="H16" s="2">
        <v>1465</v>
      </c>
    </row>
    <row r="17" spans="1:8" x14ac:dyDescent="0.3">
      <c r="A17" s="1" t="s">
        <v>12</v>
      </c>
      <c r="B17" s="1">
        <v>586</v>
      </c>
      <c r="C17" s="1">
        <v>674</v>
      </c>
      <c r="D17" s="1">
        <v>862</v>
      </c>
      <c r="E17" s="2">
        <v>1206</v>
      </c>
      <c r="F17" s="2">
        <v>1146</v>
      </c>
      <c r="G17" s="2">
        <v>1219</v>
      </c>
      <c r="H17" s="1">
        <v>923</v>
      </c>
    </row>
    <row r="18" spans="1:8" x14ac:dyDescent="0.3">
      <c r="A18" s="1" t="s">
        <v>13</v>
      </c>
      <c r="B18" s="2">
        <v>1647</v>
      </c>
      <c r="C18" s="2">
        <v>1380</v>
      </c>
      <c r="D18" s="2">
        <v>1601</v>
      </c>
      <c r="E18" s="2">
        <v>1792</v>
      </c>
      <c r="F18" s="2">
        <v>1740</v>
      </c>
      <c r="G18" s="2">
        <v>1636</v>
      </c>
      <c r="H18" s="2">
        <v>1235</v>
      </c>
    </row>
    <row r="19" spans="1:8" x14ac:dyDescent="0.3">
      <c r="A19" s="1" t="s">
        <v>14</v>
      </c>
      <c r="B19" s="1">
        <v>989</v>
      </c>
      <c r="C19" s="1">
        <v>860</v>
      </c>
      <c r="D19" s="1">
        <v>718</v>
      </c>
      <c r="E19" s="1">
        <v>785</v>
      </c>
      <c r="F19" s="2">
        <v>1223</v>
      </c>
      <c r="G19" s="2">
        <v>1170</v>
      </c>
      <c r="H19" s="2">
        <v>1114</v>
      </c>
    </row>
    <row r="20" spans="1:8" x14ac:dyDescent="0.3">
      <c r="A20" s="1" t="s">
        <v>15</v>
      </c>
      <c r="B20" s="1">
        <v>934</v>
      </c>
      <c r="C20" s="1">
        <v>846</v>
      </c>
      <c r="D20" s="1">
        <v>837</v>
      </c>
      <c r="E20" s="1">
        <v>842</v>
      </c>
      <c r="F20" s="2">
        <v>1186</v>
      </c>
      <c r="G20" s="1">
        <v>971</v>
      </c>
      <c r="H20" s="2">
        <v>1279</v>
      </c>
    </row>
    <row r="21" spans="1:8" x14ac:dyDescent="0.3">
      <c r="A21" s="1" t="s">
        <v>16</v>
      </c>
      <c r="B21" s="2">
        <v>3344</v>
      </c>
      <c r="C21" s="2">
        <v>2557</v>
      </c>
      <c r="D21" s="2">
        <v>2473</v>
      </c>
      <c r="E21" s="2">
        <v>2104</v>
      </c>
      <c r="F21" s="2">
        <v>1997</v>
      </c>
      <c r="G21" s="2">
        <v>2401</v>
      </c>
      <c r="H21" s="2">
        <v>2262</v>
      </c>
    </row>
    <row r="22" spans="1:8" x14ac:dyDescent="0.3">
      <c r="A22" s="1" t="s">
        <v>17</v>
      </c>
      <c r="B22" s="2">
        <v>1580</v>
      </c>
      <c r="C22" s="2">
        <v>1434</v>
      </c>
      <c r="D22" s="2">
        <v>1413</v>
      </c>
      <c r="E22" s="2">
        <v>1768</v>
      </c>
      <c r="F22" s="2">
        <v>1865</v>
      </c>
      <c r="G22" s="2">
        <v>1367</v>
      </c>
      <c r="H22" s="2">
        <v>1330</v>
      </c>
    </row>
    <row r="23" spans="1:8" x14ac:dyDescent="0.3">
      <c r="A23" s="1" t="s">
        <v>18</v>
      </c>
      <c r="B23" s="1">
        <v>244</v>
      </c>
      <c r="C23" s="1">
        <v>249</v>
      </c>
      <c r="D23" s="1">
        <v>339</v>
      </c>
      <c r="E23" s="1">
        <v>407</v>
      </c>
      <c r="F23" s="1">
        <v>239</v>
      </c>
      <c r="G23" s="1">
        <v>227</v>
      </c>
      <c r="H23" s="1">
        <v>633</v>
      </c>
    </row>
    <row r="24" spans="1:8" x14ac:dyDescent="0.3">
      <c r="A24" s="1" t="s">
        <v>19</v>
      </c>
      <c r="B24" s="1">
        <v>824</v>
      </c>
      <c r="C24" s="1">
        <v>892</v>
      </c>
      <c r="D24" s="1">
        <v>940</v>
      </c>
      <c r="E24" s="1">
        <v>733</v>
      </c>
      <c r="F24" s="1">
        <v>732</v>
      </c>
      <c r="G24" s="1">
        <v>714</v>
      </c>
      <c r="H24" s="1">
        <v>480</v>
      </c>
    </row>
    <row r="25" spans="1:8" x14ac:dyDescent="0.3">
      <c r="A25" s="1" t="s">
        <v>20</v>
      </c>
      <c r="B25" s="1">
        <v>966</v>
      </c>
      <c r="C25" s="1">
        <v>691</v>
      </c>
      <c r="D25" s="1">
        <v>713</v>
      </c>
      <c r="E25" s="1">
        <v>684</v>
      </c>
      <c r="F25" s="1">
        <v>681</v>
      </c>
      <c r="G25" s="1">
        <v>810</v>
      </c>
      <c r="H25" s="1">
        <v>847</v>
      </c>
    </row>
    <row r="26" spans="1:8" x14ac:dyDescent="0.3">
      <c r="A26" s="1" t="s">
        <v>21</v>
      </c>
      <c r="B26" s="2">
        <v>2882</v>
      </c>
      <c r="C26" s="2">
        <v>2318</v>
      </c>
      <c r="D26" s="2">
        <v>2242</v>
      </c>
      <c r="E26" s="2">
        <v>1966</v>
      </c>
      <c r="F26" s="2">
        <v>2030</v>
      </c>
      <c r="G26" s="2">
        <v>1486</v>
      </c>
      <c r="H26" s="2">
        <v>1612</v>
      </c>
    </row>
    <row r="27" spans="1:8" x14ac:dyDescent="0.3">
      <c r="A27" s="1" t="s">
        <v>22</v>
      </c>
      <c r="B27" s="2">
        <v>1649</v>
      </c>
      <c r="C27" s="2">
        <v>1650</v>
      </c>
      <c r="D27" s="2">
        <v>1399</v>
      </c>
      <c r="E27" s="2">
        <v>1515</v>
      </c>
      <c r="F27" s="2">
        <v>1076</v>
      </c>
      <c r="G27" s="2">
        <v>1257</v>
      </c>
      <c r="H27" s="2">
        <v>1168</v>
      </c>
    </row>
    <row r="28" spans="1:8" x14ac:dyDescent="0.3">
      <c r="A28" s="1" t="s">
        <v>23</v>
      </c>
      <c r="B28" s="1">
        <v>686</v>
      </c>
      <c r="C28" s="1">
        <v>546</v>
      </c>
      <c r="D28" s="1">
        <v>606</v>
      </c>
      <c r="E28" s="1">
        <v>610</v>
      </c>
      <c r="F28" s="1">
        <v>588</v>
      </c>
      <c r="G28" s="1">
        <v>596</v>
      </c>
      <c r="H28" s="1">
        <v>512</v>
      </c>
    </row>
    <row r="29" spans="1:8" x14ac:dyDescent="0.3">
      <c r="A29" s="1" t="s">
        <v>24</v>
      </c>
      <c r="B29" s="4" t="s">
        <v>4</v>
      </c>
      <c r="C29" s="4" t="s">
        <v>4</v>
      </c>
      <c r="D29" s="4" t="s">
        <v>4</v>
      </c>
      <c r="E29" s="4" t="s">
        <v>4</v>
      </c>
      <c r="F29" s="4" t="s">
        <v>4</v>
      </c>
      <c r="G29" s="1">
        <v>84</v>
      </c>
      <c r="H29" s="1">
        <v>34</v>
      </c>
    </row>
    <row r="30" spans="1:8" x14ac:dyDescent="0.3">
      <c r="A30" s="1" t="s">
        <v>25</v>
      </c>
      <c r="B30" s="2">
        <v>2873</v>
      </c>
      <c r="C30" s="2">
        <v>2930</v>
      </c>
      <c r="D30" s="2">
        <v>2886</v>
      </c>
      <c r="E30" s="2">
        <v>2776</v>
      </c>
      <c r="F30" s="2">
        <v>3976</v>
      </c>
      <c r="G30" s="2">
        <v>3780</v>
      </c>
      <c r="H30" s="2">
        <v>4037</v>
      </c>
    </row>
    <row r="31" spans="1:8" x14ac:dyDescent="0.3">
      <c r="A31" s="1" t="s">
        <v>26</v>
      </c>
      <c r="B31" s="1">
        <v>757</v>
      </c>
      <c r="C31" s="1">
        <v>781</v>
      </c>
      <c r="D31" s="1">
        <v>769</v>
      </c>
      <c r="E31" s="1">
        <v>672</v>
      </c>
      <c r="F31" s="1">
        <v>433</v>
      </c>
      <c r="G31" s="1">
        <v>628</v>
      </c>
      <c r="H31" s="2">
        <v>1113</v>
      </c>
    </row>
    <row r="32" spans="1:8" x14ac:dyDescent="0.3">
      <c r="A32" s="1" t="s">
        <v>27</v>
      </c>
      <c r="B32" s="1">
        <v>642</v>
      </c>
      <c r="C32" s="1">
        <v>631</v>
      </c>
      <c r="D32" s="1">
        <v>177</v>
      </c>
      <c r="E32" s="4" t="s">
        <v>4</v>
      </c>
      <c r="F32" s="4" t="s">
        <v>4</v>
      </c>
      <c r="G32" s="1">
        <v>736</v>
      </c>
      <c r="H32" s="1">
        <v>838</v>
      </c>
    </row>
    <row r="33" spans="1:8" x14ac:dyDescent="0.3">
      <c r="A33" s="1" t="s">
        <v>28</v>
      </c>
      <c r="B33" s="2">
        <v>2378</v>
      </c>
      <c r="C33" s="2">
        <v>2020</v>
      </c>
      <c r="D33" s="2">
        <v>2253</v>
      </c>
      <c r="E33" s="2">
        <v>3060</v>
      </c>
      <c r="F33" s="2">
        <v>2882</v>
      </c>
      <c r="G33" s="2">
        <v>3018</v>
      </c>
      <c r="H33" s="2">
        <v>2926</v>
      </c>
    </row>
    <row r="34" spans="1:8" x14ac:dyDescent="0.3">
      <c r="A34" s="1" t="s">
        <v>29</v>
      </c>
      <c r="B34" s="1">
        <v>219</v>
      </c>
      <c r="C34" s="1">
        <v>190</v>
      </c>
      <c r="D34" s="1">
        <v>247</v>
      </c>
      <c r="E34" s="1">
        <v>211</v>
      </c>
      <c r="F34" s="1">
        <v>145</v>
      </c>
      <c r="G34" s="1">
        <v>126</v>
      </c>
      <c r="H34" s="1">
        <v>329</v>
      </c>
    </row>
    <row r="35" spans="1:8" x14ac:dyDescent="0.3">
      <c r="A35" s="1" t="s">
        <v>30</v>
      </c>
      <c r="B35" s="1">
        <v>265</v>
      </c>
      <c r="C35" s="1">
        <v>270</v>
      </c>
      <c r="D35" s="1">
        <v>306</v>
      </c>
      <c r="E35" s="1">
        <v>165</v>
      </c>
      <c r="F35" s="1">
        <v>146</v>
      </c>
      <c r="G35" s="1">
        <v>132</v>
      </c>
      <c r="H35" s="1">
        <v>143</v>
      </c>
    </row>
    <row r="36" spans="1:8" x14ac:dyDescent="0.3">
      <c r="A36" s="1" t="s">
        <v>31</v>
      </c>
      <c r="B36" s="1">
        <v>111</v>
      </c>
      <c r="C36" s="1">
        <v>129</v>
      </c>
      <c r="D36" s="1">
        <v>135</v>
      </c>
      <c r="E36" s="1">
        <v>134</v>
      </c>
      <c r="F36" s="1">
        <v>139</v>
      </c>
      <c r="G36" s="1">
        <v>135</v>
      </c>
      <c r="H36" s="1">
        <v>186</v>
      </c>
    </row>
    <row r="37" spans="1:8" ht="28.8" x14ac:dyDescent="0.3">
      <c r="A37" s="1" t="s">
        <v>32</v>
      </c>
      <c r="B37" s="4" t="s">
        <v>4</v>
      </c>
      <c r="C37" s="4" t="s">
        <v>4</v>
      </c>
      <c r="D37" s="4" t="s">
        <v>4</v>
      </c>
      <c r="E37" s="1">
        <v>976</v>
      </c>
      <c r="F37" s="1">
        <v>911</v>
      </c>
      <c r="G37" s="1">
        <v>732</v>
      </c>
      <c r="H37" s="1">
        <v>660</v>
      </c>
    </row>
    <row r="38" spans="1:8" x14ac:dyDescent="0.3">
      <c r="A38" s="1" t="s">
        <v>38</v>
      </c>
      <c r="B38" s="4" t="s">
        <v>4</v>
      </c>
      <c r="C38" s="4" t="s">
        <v>4</v>
      </c>
      <c r="D38" s="4" t="s">
        <v>4</v>
      </c>
      <c r="E38" s="2">
        <v>3006</v>
      </c>
      <c r="F38" s="2">
        <v>18498</v>
      </c>
      <c r="G38" s="2">
        <v>18096</v>
      </c>
      <c r="H38" s="2">
        <v>21133</v>
      </c>
    </row>
    <row r="39" spans="1:8" x14ac:dyDescent="0.3">
      <c r="A39" s="1" t="s">
        <v>39</v>
      </c>
      <c r="B39" s="2">
        <v>68630</v>
      </c>
      <c r="C39" s="3">
        <v>62156.29</v>
      </c>
      <c r="D39" s="2">
        <v>62397</v>
      </c>
      <c r="E39" s="2">
        <v>66584</v>
      </c>
      <c r="F39" s="2">
        <v>68144</v>
      </c>
      <c r="G39" s="2">
        <v>73377</v>
      </c>
      <c r="H39" s="2">
        <v>79377</v>
      </c>
    </row>
    <row r="40" spans="1:8" ht="28.8" x14ac:dyDescent="0.3">
      <c r="A40" s="1" t="s">
        <v>40</v>
      </c>
      <c r="B40" s="2">
        <v>22292</v>
      </c>
      <c r="C40" s="2">
        <v>32183</v>
      </c>
      <c r="D40" s="2">
        <v>34749</v>
      </c>
      <c r="E40" s="2">
        <v>36183</v>
      </c>
      <c r="F40" s="2">
        <v>42175</v>
      </c>
      <c r="G40" s="2">
        <v>57219</v>
      </c>
      <c r="H40" s="2">
        <v>54285</v>
      </c>
    </row>
    <row r="41" spans="1:8" ht="28.8" x14ac:dyDescent="0.3">
      <c r="A41" s="1" t="s">
        <v>41</v>
      </c>
      <c r="B41" s="2">
        <v>22292</v>
      </c>
      <c r="C41" s="2">
        <v>32183</v>
      </c>
      <c r="D41" s="2">
        <v>34749</v>
      </c>
      <c r="E41" s="2">
        <v>36183</v>
      </c>
      <c r="F41" s="2">
        <v>15470</v>
      </c>
      <c r="G41" s="2">
        <v>15178</v>
      </c>
      <c r="H41" s="2">
        <v>14404</v>
      </c>
    </row>
    <row r="42" spans="1:8" x14ac:dyDescent="0.3">
      <c r="A42" s="1" t="s">
        <v>42</v>
      </c>
      <c r="B42" s="4" t="s">
        <v>4</v>
      </c>
      <c r="C42" s="4" t="s">
        <v>4</v>
      </c>
      <c r="D42" s="4" t="s">
        <v>4</v>
      </c>
      <c r="E42" s="4" t="s">
        <v>4</v>
      </c>
      <c r="F42" s="2">
        <v>1350</v>
      </c>
      <c r="G42" s="2">
        <v>5948</v>
      </c>
      <c r="H42" s="2">
        <v>4625</v>
      </c>
    </row>
    <row r="43" spans="1:8" x14ac:dyDescent="0.3">
      <c r="A43" s="1" t="s">
        <v>43</v>
      </c>
      <c r="B43" s="4" t="s">
        <v>4</v>
      </c>
      <c r="C43" s="4" t="s">
        <v>4</v>
      </c>
      <c r="D43" s="4" t="s">
        <v>4</v>
      </c>
      <c r="E43" s="13" t="s">
        <v>4</v>
      </c>
      <c r="F43" s="2">
        <v>19831</v>
      </c>
      <c r="G43" s="2">
        <v>17010</v>
      </c>
      <c r="H43" s="2">
        <v>14673</v>
      </c>
    </row>
    <row r="44" spans="1:8" x14ac:dyDescent="0.3">
      <c r="A44" s="1" t="s">
        <v>44</v>
      </c>
      <c r="B44" s="4" t="s">
        <v>4</v>
      </c>
      <c r="C44" s="4" t="s">
        <v>4</v>
      </c>
      <c r="D44" s="4" t="s">
        <v>4</v>
      </c>
      <c r="E44" s="4" t="s">
        <v>4</v>
      </c>
      <c r="F44" s="2">
        <v>4831</v>
      </c>
      <c r="G44" s="2">
        <v>12463</v>
      </c>
      <c r="H44" s="2">
        <v>14417</v>
      </c>
    </row>
    <row r="45" spans="1:8" x14ac:dyDescent="0.3">
      <c r="A45" s="1" t="s">
        <v>45</v>
      </c>
      <c r="B45" s="4" t="s">
        <v>4</v>
      </c>
      <c r="C45" s="4" t="s">
        <v>4</v>
      </c>
      <c r="D45" s="4" t="s">
        <v>4</v>
      </c>
      <c r="E45" s="4" t="s">
        <v>4</v>
      </c>
      <c r="F45" s="1">
        <v>693</v>
      </c>
      <c r="G45" s="2">
        <v>6619</v>
      </c>
      <c r="H45" s="2">
        <v>6166</v>
      </c>
    </row>
    <row r="46" spans="1:8" x14ac:dyDescent="0.3">
      <c r="A46" s="1" t="s">
        <v>46</v>
      </c>
      <c r="B46" s="2">
        <v>90922</v>
      </c>
      <c r="C46" s="2">
        <v>94340</v>
      </c>
      <c r="D46" s="2">
        <v>97146</v>
      </c>
      <c r="E46" s="2">
        <v>102767</v>
      </c>
      <c r="F46" s="2">
        <v>110319</v>
      </c>
      <c r="G46" s="2">
        <v>130596</v>
      </c>
      <c r="H46" s="2">
        <v>133662</v>
      </c>
    </row>
    <row r="47" spans="1:8" x14ac:dyDescent="0.3">
      <c r="A47" s="1" t="s">
        <v>47</v>
      </c>
      <c r="B47" s="2">
        <v>105025</v>
      </c>
      <c r="C47" s="2">
        <v>92330</v>
      </c>
      <c r="D47" s="2">
        <v>87634</v>
      </c>
      <c r="E47" s="2">
        <v>74854</v>
      </c>
      <c r="F47" s="2">
        <v>67128</v>
      </c>
      <c r="G47" s="2">
        <v>52025</v>
      </c>
      <c r="H47" s="2">
        <v>50659</v>
      </c>
    </row>
    <row r="48" spans="1:8" x14ac:dyDescent="0.3">
      <c r="A48" s="1" t="s">
        <v>48</v>
      </c>
      <c r="B48" s="2">
        <v>195948</v>
      </c>
      <c r="C48" s="2">
        <v>186669</v>
      </c>
      <c r="D48" s="2">
        <v>184780</v>
      </c>
      <c r="E48" s="2">
        <v>177620</v>
      </c>
      <c r="F48" s="2">
        <v>177447</v>
      </c>
      <c r="G48" s="2">
        <v>182621</v>
      </c>
      <c r="H48" s="2">
        <v>184321</v>
      </c>
    </row>
    <row r="49" spans="1:8" x14ac:dyDescent="0.3">
      <c r="A49" s="1" t="s">
        <v>49</v>
      </c>
      <c r="B49" s="1">
        <v>534</v>
      </c>
      <c r="C49" s="1">
        <v>511</v>
      </c>
      <c r="D49" s="1">
        <v>505</v>
      </c>
      <c r="E49" s="1">
        <v>485</v>
      </c>
      <c r="F49" s="1">
        <v>484</v>
      </c>
      <c r="G49" s="1">
        <v>542</v>
      </c>
      <c r="H49" s="1">
        <v>556</v>
      </c>
    </row>
  </sheetData>
  <pageMargins left="0.7" right="0.7" top="0.75" bottom="0.75" header="0.3" footer="0.3"/>
  <pageSetup paperSize="9" orientation="portrait" horizontalDpi="4294967293" verticalDpi="4294967293"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I111"/>
  <sheetViews>
    <sheetView topLeftCell="A37" workbookViewId="0">
      <selection activeCell="A89" sqref="A89:XFD91"/>
    </sheetView>
  </sheetViews>
  <sheetFormatPr defaultRowHeight="14.4" x14ac:dyDescent="0.3"/>
  <cols>
    <col min="1" max="1" width="35.5546875" bestFit="1" customWidth="1"/>
    <col min="2" max="2" width="23" customWidth="1"/>
    <col min="3" max="3" width="8.6640625" customWidth="1"/>
    <col min="4" max="4" width="11.33203125" bestFit="1" customWidth="1"/>
    <col min="5" max="9" width="9" bestFit="1" customWidth="1"/>
  </cols>
  <sheetData>
    <row r="2" spans="1:9" x14ac:dyDescent="0.3">
      <c r="A2" s="1" t="s">
        <v>70</v>
      </c>
      <c r="B2" s="1" t="s">
        <v>134</v>
      </c>
      <c r="C2" s="1" t="s">
        <v>155</v>
      </c>
      <c r="D2" s="1">
        <v>2007</v>
      </c>
      <c r="E2" s="1">
        <v>2008</v>
      </c>
      <c r="F2" s="1">
        <v>2009</v>
      </c>
      <c r="G2" s="1">
        <v>2010</v>
      </c>
      <c r="H2" s="1">
        <v>2011</v>
      </c>
      <c r="I2" s="1">
        <v>2012</v>
      </c>
    </row>
    <row r="3" spans="1:9" x14ac:dyDescent="0.3">
      <c r="A3" s="1" t="s">
        <v>71</v>
      </c>
      <c r="B3" s="1"/>
      <c r="C3" s="1"/>
      <c r="D3" s="2">
        <v>15475</v>
      </c>
      <c r="E3" s="2">
        <v>15393</v>
      </c>
      <c r="F3" s="2">
        <v>12912</v>
      </c>
      <c r="G3" s="2">
        <v>11785</v>
      </c>
      <c r="H3" s="2">
        <v>52025</v>
      </c>
      <c r="I3" s="2">
        <v>50659</v>
      </c>
    </row>
    <row r="4" spans="1:9" x14ac:dyDescent="0.3">
      <c r="A4" s="1" t="s">
        <v>72</v>
      </c>
      <c r="B4" s="1" t="s">
        <v>157</v>
      </c>
      <c r="C4" s="1">
        <v>10</v>
      </c>
      <c r="D4" s="2">
        <v>9336</v>
      </c>
      <c r="E4" s="2">
        <v>9232</v>
      </c>
      <c r="F4" s="2">
        <v>7487</v>
      </c>
      <c r="G4" s="2">
        <v>6818</v>
      </c>
      <c r="H4" s="2">
        <v>6130</v>
      </c>
      <c r="I4" s="2">
        <v>5528</v>
      </c>
    </row>
    <row r="5" spans="1:9" x14ac:dyDescent="0.3">
      <c r="A5" s="1" t="s">
        <v>73</v>
      </c>
      <c r="B5" s="1"/>
      <c r="C5" s="1"/>
      <c r="D5" s="4" t="s">
        <v>4</v>
      </c>
      <c r="E5" s="4" t="s">
        <v>4</v>
      </c>
      <c r="F5" s="4" t="s">
        <v>4</v>
      </c>
      <c r="G5" s="4" t="s">
        <v>4</v>
      </c>
      <c r="H5" s="2">
        <v>4551</v>
      </c>
      <c r="I5" s="2">
        <v>5104</v>
      </c>
    </row>
    <row r="6" spans="1:9" ht="28.8" x14ac:dyDescent="0.3">
      <c r="A6" s="1" t="s">
        <v>74</v>
      </c>
      <c r="B6" s="1" t="s">
        <v>172</v>
      </c>
      <c r="C6" s="1" t="s">
        <v>171</v>
      </c>
      <c r="D6" s="4" t="s">
        <v>4</v>
      </c>
      <c r="E6" s="4" t="s">
        <v>4</v>
      </c>
      <c r="F6" s="4" t="s">
        <v>4</v>
      </c>
      <c r="G6" s="4" t="s">
        <v>4</v>
      </c>
      <c r="H6" s="2">
        <v>4551</v>
      </c>
      <c r="I6" s="2">
        <v>5104</v>
      </c>
    </row>
    <row r="7" spans="1:9" x14ac:dyDescent="0.3">
      <c r="A7" s="1" t="s">
        <v>75</v>
      </c>
      <c r="B7" s="1"/>
      <c r="C7" s="1"/>
      <c r="D7" s="4" t="s">
        <v>4</v>
      </c>
      <c r="E7" s="4" t="s">
        <v>4</v>
      </c>
      <c r="F7" s="4" t="s">
        <v>4</v>
      </c>
      <c r="G7" s="4" t="s">
        <v>4</v>
      </c>
      <c r="H7" s="2">
        <v>16872</v>
      </c>
      <c r="I7" s="2">
        <v>15927</v>
      </c>
    </row>
    <row r="8" spans="1:9" x14ac:dyDescent="0.3">
      <c r="A8" s="1" t="s">
        <v>76</v>
      </c>
      <c r="B8" s="10" t="s">
        <v>199</v>
      </c>
      <c r="C8" s="1"/>
      <c r="D8" s="4" t="s">
        <v>4</v>
      </c>
      <c r="E8" s="4" t="s">
        <v>4</v>
      </c>
      <c r="F8" s="4" t="s">
        <v>4</v>
      </c>
      <c r="G8" s="4" t="s">
        <v>4</v>
      </c>
      <c r="H8" s="2">
        <v>16872</v>
      </c>
      <c r="I8" s="2">
        <v>15927</v>
      </c>
    </row>
    <row r="9" spans="1:9" s="9" customFormat="1" x14ac:dyDescent="0.3">
      <c r="A9" s="7" t="s">
        <v>208</v>
      </c>
      <c r="B9" s="7" t="s">
        <v>190</v>
      </c>
      <c r="C9" s="7">
        <v>16</v>
      </c>
      <c r="D9" s="8"/>
      <c r="E9" s="8"/>
      <c r="F9" s="8"/>
      <c r="G9" s="8"/>
      <c r="H9" s="16"/>
      <c r="I9" s="16"/>
    </row>
    <row r="10" spans="1:9" s="9" customFormat="1" x14ac:dyDescent="0.3">
      <c r="A10" s="7" t="s">
        <v>191</v>
      </c>
      <c r="B10" s="7" t="s">
        <v>191</v>
      </c>
      <c r="C10" s="7">
        <v>67</v>
      </c>
      <c r="D10" s="8"/>
      <c r="E10" s="8"/>
      <c r="F10" s="8"/>
      <c r="G10" s="8"/>
      <c r="H10" s="16"/>
      <c r="I10" s="16"/>
    </row>
    <row r="11" spans="1:9" s="9" customFormat="1" x14ac:dyDescent="0.3">
      <c r="A11" s="7" t="s">
        <v>192</v>
      </c>
      <c r="B11" s="7" t="s">
        <v>191</v>
      </c>
      <c r="C11" s="7">
        <v>67</v>
      </c>
      <c r="D11" s="8"/>
      <c r="E11" s="8"/>
      <c r="F11" s="8"/>
      <c r="G11" s="8"/>
      <c r="H11" s="16"/>
      <c r="I11" s="16"/>
    </row>
    <row r="12" spans="1:9" x14ac:dyDescent="0.3">
      <c r="A12" s="1" t="s">
        <v>77</v>
      </c>
      <c r="B12" s="10" t="s">
        <v>193</v>
      </c>
      <c r="C12" s="1"/>
      <c r="D12" s="4" t="s">
        <v>4</v>
      </c>
      <c r="E12" s="4" t="s">
        <v>4</v>
      </c>
      <c r="F12" s="4" t="s">
        <v>4</v>
      </c>
      <c r="G12" s="4" t="s">
        <v>4</v>
      </c>
      <c r="H12" s="2">
        <v>13277</v>
      </c>
      <c r="I12" s="2">
        <v>12550</v>
      </c>
    </row>
    <row r="13" spans="1:9" x14ac:dyDescent="0.3">
      <c r="A13" s="1" t="s">
        <v>78</v>
      </c>
      <c r="B13" s="1"/>
      <c r="C13" s="1"/>
      <c r="D13" s="4" t="s">
        <v>4</v>
      </c>
      <c r="E13" s="4" t="s">
        <v>4</v>
      </c>
      <c r="F13" s="4" t="s">
        <v>4</v>
      </c>
      <c r="G13" s="4" t="s">
        <v>4</v>
      </c>
      <c r="H13" s="2">
        <v>13277</v>
      </c>
      <c r="I13" s="2">
        <v>12550</v>
      </c>
    </row>
    <row r="14" spans="1:9" ht="28.8" x14ac:dyDescent="0.3">
      <c r="A14" s="1" t="s">
        <v>79</v>
      </c>
      <c r="B14" s="10" t="s">
        <v>193</v>
      </c>
      <c r="C14" s="1"/>
      <c r="D14" s="4" t="s">
        <v>4</v>
      </c>
      <c r="E14" s="4" t="s">
        <v>4</v>
      </c>
      <c r="F14" s="4" t="s">
        <v>4</v>
      </c>
      <c r="G14" s="4" t="s">
        <v>4</v>
      </c>
      <c r="H14" s="2">
        <v>4778</v>
      </c>
      <c r="I14" s="2">
        <v>4912</v>
      </c>
    </row>
    <row r="15" spans="1:9" x14ac:dyDescent="0.3">
      <c r="A15" s="1" t="s">
        <v>80</v>
      </c>
      <c r="B15" s="1"/>
      <c r="C15" s="1"/>
      <c r="D15" s="4" t="s">
        <v>4</v>
      </c>
      <c r="E15" s="4" t="s">
        <v>4</v>
      </c>
      <c r="F15" s="4" t="s">
        <v>4</v>
      </c>
      <c r="G15" s="4" t="s">
        <v>4</v>
      </c>
      <c r="H15" s="2">
        <v>4778</v>
      </c>
      <c r="I15" s="2">
        <v>4912</v>
      </c>
    </row>
    <row r="16" spans="1:9" x14ac:dyDescent="0.3">
      <c r="A16" s="1" t="s">
        <v>81</v>
      </c>
      <c r="B16" s="1"/>
      <c r="C16" s="1"/>
      <c r="D16" s="4" t="s">
        <v>4</v>
      </c>
      <c r="E16" s="4" t="s">
        <v>4</v>
      </c>
      <c r="F16" s="4" t="s">
        <v>4</v>
      </c>
      <c r="G16" s="4" t="s">
        <v>4</v>
      </c>
      <c r="H16" s="1">
        <v>473</v>
      </c>
      <c r="I16" s="1">
        <v>454</v>
      </c>
    </row>
    <row r="17" spans="1:9" x14ac:dyDescent="0.3">
      <c r="A17" s="1" t="s">
        <v>82</v>
      </c>
      <c r="B17" s="1"/>
      <c r="C17" s="1"/>
      <c r="D17" s="4" t="s">
        <v>4</v>
      </c>
      <c r="E17" s="4" t="s">
        <v>4</v>
      </c>
      <c r="F17" s="4" t="s">
        <v>4</v>
      </c>
      <c r="G17" s="4" t="s">
        <v>4</v>
      </c>
      <c r="H17" s="2">
        <v>5943</v>
      </c>
      <c r="I17" s="2">
        <v>6185</v>
      </c>
    </row>
    <row r="18" spans="1:9" x14ac:dyDescent="0.3">
      <c r="A18" s="1" t="s">
        <v>83</v>
      </c>
      <c r="B18" s="10" t="s">
        <v>193</v>
      </c>
      <c r="C18" s="1">
        <v>49</v>
      </c>
      <c r="D18" s="4" t="s">
        <v>4</v>
      </c>
      <c r="E18" s="4" t="s">
        <v>4</v>
      </c>
      <c r="F18" s="4" t="s">
        <v>4</v>
      </c>
      <c r="G18" s="4" t="s">
        <v>4</v>
      </c>
      <c r="H18" s="2">
        <v>1436</v>
      </c>
      <c r="I18" s="2">
        <v>1321</v>
      </c>
    </row>
    <row r="19" spans="1:9" s="9" customFormat="1" x14ac:dyDescent="0.3">
      <c r="A19" s="7" t="s">
        <v>158</v>
      </c>
      <c r="B19" s="7" t="s">
        <v>158</v>
      </c>
      <c r="C19" s="7">
        <v>49</v>
      </c>
      <c r="D19" s="8"/>
      <c r="E19" s="8"/>
      <c r="F19" s="8"/>
      <c r="G19" s="8"/>
      <c r="H19" s="16"/>
      <c r="I19" s="16"/>
    </row>
    <row r="20" spans="1:9" ht="28.8" x14ac:dyDescent="0.3">
      <c r="A20" s="1" t="s">
        <v>84</v>
      </c>
      <c r="B20" s="1"/>
      <c r="C20" s="1"/>
      <c r="D20" s="4" t="s">
        <v>4</v>
      </c>
      <c r="E20" s="4" t="s">
        <v>4</v>
      </c>
      <c r="F20" s="4" t="s">
        <v>4</v>
      </c>
      <c r="G20" s="4" t="s">
        <v>4</v>
      </c>
      <c r="H20" s="2">
        <v>2571</v>
      </c>
      <c r="I20" s="2">
        <v>2856</v>
      </c>
    </row>
    <row r="21" spans="1:9" s="9" customFormat="1" x14ac:dyDescent="0.3">
      <c r="A21" s="7" t="s">
        <v>203</v>
      </c>
      <c r="B21" s="7" t="s">
        <v>205</v>
      </c>
      <c r="C21" s="7">
        <v>64</v>
      </c>
      <c r="D21" s="8"/>
      <c r="E21" s="8"/>
      <c r="F21" s="8"/>
      <c r="G21" s="8"/>
      <c r="H21" s="16"/>
      <c r="I21" s="16"/>
    </row>
    <row r="22" spans="1:9" s="9" customFormat="1" x14ac:dyDescent="0.3">
      <c r="A22" s="7" t="s">
        <v>220</v>
      </c>
      <c r="B22" s="7" t="s">
        <v>205</v>
      </c>
      <c r="C22" s="7">
        <v>64</v>
      </c>
      <c r="D22" s="8"/>
      <c r="E22" s="8"/>
      <c r="F22" s="8"/>
      <c r="G22" s="8"/>
      <c r="H22" s="16"/>
      <c r="I22" s="16"/>
    </row>
    <row r="23" spans="1:9" s="9" customFormat="1" x14ac:dyDescent="0.3">
      <c r="A23" s="7" t="s">
        <v>204</v>
      </c>
      <c r="B23" s="7" t="s">
        <v>205</v>
      </c>
      <c r="C23" s="7">
        <v>64</v>
      </c>
      <c r="D23" s="8"/>
      <c r="E23" s="8"/>
      <c r="F23" s="8"/>
      <c r="G23" s="8"/>
      <c r="H23" s="16"/>
      <c r="I23" s="16"/>
    </row>
    <row r="24" spans="1:9" x14ac:dyDescent="0.3">
      <c r="A24" s="1" t="s">
        <v>85</v>
      </c>
      <c r="B24" s="1"/>
      <c r="C24" s="1"/>
      <c r="D24" s="4" t="s">
        <v>4</v>
      </c>
      <c r="E24" s="4" t="s">
        <v>4</v>
      </c>
      <c r="F24" s="4" t="s">
        <v>4</v>
      </c>
      <c r="G24" s="4" t="s">
        <v>4</v>
      </c>
      <c r="H24" s="2">
        <v>1522</v>
      </c>
      <c r="I24" s="2">
        <v>1342</v>
      </c>
    </row>
    <row r="25" spans="1:9" s="9" customFormat="1" x14ac:dyDescent="0.3">
      <c r="A25" s="7" t="s">
        <v>206</v>
      </c>
      <c r="B25" s="7" t="s">
        <v>206</v>
      </c>
      <c r="C25" s="7">
        <v>66</v>
      </c>
      <c r="D25" s="8"/>
      <c r="E25" s="8"/>
      <c r="F25" s="8"/>
      <c r="G25" s="8"/>
      <c r="H25" s="16"/>
      <c r="I25" s="16"/>
    </row>
    <row r="26" spans="1:9" x14ac:dyDescent="0.3">
      <c r="A26" s="1" t="s">
        <v>86</v>
      </c>
      <c r="B26" s="10" t="s">
        <v>207</v>
      </c>
      <c r="C26" s="1"/>
      <c r="D26" s="4" t="s">
        <v>4</v>
      </c>
      <c r="E26" s="4" t="s">
        <v>4</v>
      </c>
      <c r="F26" s="4" t="s">
        <v>4</v>
      </c>
      <c r="G26" s="4" t="s">
        <v>4</v>
      </c>
      <c r="H26" s="1">
        <v>46</v>
      </c>
      <c r="I26" s="1" t="s">
        <v>4</v>
      </c>
    </row>
    <row r="27" spans="1:9" s="9" customFormat="1" x14ac:dyDescent="0.3">
      <c r="A27" s="7" t="s">
        <v>139</v>
      </c>
      <c r="B27" s="7" t="s">
        <v>139</v>
      </c>
      <c r="C27" s="7">
        <v>44</v>
      </c>
      <c r="D27" s="8"/>
      <c r="E27" s="8"/>
      <c r="F27" s="8"/>
      <c r="G27" s="8"/>
      <c r="H27" s="7"/>
      <c r="I27" s="7"/>
    </row>
    <row r="28" spans="1:9" x14ac:dyDescent="0.3">
      <c r="A28" s="1" t="s">
        <v>87</v>
      </c>
      <c r="B28" s="1" t="s">
        <v>173</v>
      </c>
      <c r="C28" s="1">
        <v>45</v>
      </c>
      <c r="D28" s="4" t="s">
        <v>4</v>
      </c>
      <c r="E28" s="4" t="s">
        <v>4</v>
      </c>
      <c r="F28" s="4" t="s">
        <v>4</v>
      </c>
      <c r="G28" s="4" t="s">
        <v>4</v>
      </c>
      <c r="H28" s="1">
        <v>369</v>
      </c>
      <c r="I28" s="1">
        <v>667</v>
      </c>
    </row>
    <row r="29" spans="1:9" x14ac:dyDescent="0.3">
      <c r="A29" s="1" t="s">
        <v>88</v>
      </c>
      <c r="B29" s="1"/>
      <c r="C29" s="1"/>
      <c r="D29" s="2">
        <v>6139</v>
      </c>
      <c r="E29" s="2">
        <v>6161</v>
      </c>
      <c r="F29" s="2">
        <v>5425</v>
      </c>
      <c r="G29" s="2">
        <v>4967</v>
      </c>
      <c r="H29" s="4" t="s">
        <v>4</v>
      </c>
      <c r="I29" s="4" t="s">
        <v>4</v>
      </c>
    </row>
    <row r="30" spans="1:9" x14ac:dyDescent="0.3">
      <c r="A30" s="1" t="s">
        <v>89</v>
      </c>
      <c r="B30" s="1" t="s">
        <v>161</v>
      </c>
      <c r="C30" s="1">
        <v>46</v>
      </c>
      <c r="D30" s="2">
        <v>4793</v>
      </c>
      <c r="E30" s="2">
        <v>5000</v>
      </c>
      <c r="F30" s="2">
        <v>4418</v>
      </c>
      <c r="G30" s="2">
        <v>4077</v>
      </c>
      <c r="H30" s="4" t="s">
        <v>4</v>
      </c>
      <c r="I30" s="4" t="s">
        <v>4</v>
      </c>
    </row>
    <row r="31" spans="1:9" x14ac:dyDescent="0.3">
      <c r="A31" s="1" t="s">
        <v>90</v>
      </c>
      <c r="B31" s="1" t="s">
        <v>162</v>
      </c>
      <c r="C31" s="1">
        <v>47</v>
      </c>
      <c r="D31" s="2">
        <v>1138</v>
      </c>
      <c r="E31" s="1">
        <v>985</v>
      </c>
      <c r="F31" s="1">
        <v>867</v>
      </c>
      <c r="G31" s="1">
        <v>762</v>
      </c>
      <c r="H31" s="4" t="s">
        <v>4</v>
      </c>
      <c r="I31" s="4" t="s">
        <v>4</v>
      </c>
    </row>
    <row r="32" spans="1:9" x14ac:dyDescent="0.3">
      <c r="A32" s="1" t="s">
        <v>91</v>
      </c>
      <c r="B32" s="1" t="s">
        <v>162</v>
      </c>
      <c r="C32" s="1">
        <v>47</v>
      </c>
      <c r="D32" s="1">
        <v>95</v>
      </c>
      <c r="E32" s="1">
        <v>82</v>
      </c>
      <c r="F32" s="1">
        <v>67</v>
      </c>
      <c r="G32" s="1">
        <v>56</v>
      </c>
      <c r="H32" s="4" t="s">
        <v>4</v>
      </c>
      <c r="I32" s="4" t="s">
        <v>4</v>
      </c>
    </row>
    <row r="33" spans="1:9" x14ac:dyDescent="0.3">
      <c r="A33" s="1" t="s">
        <v>92</v>
      </c>
      <c r="B33" s="1" t="s">
        <v>162</v>
      </c>
      <c r="C33" s="1">
        <v>47</v>
      </c>
      <c r="D33" s="1">
        <v>113</v>
      </c>
      <c r="E33" s="1">
        <v>93</v>
      </c>
      <c r="F33" s="1">
        <v>73</v>
      </c>
      <c r="G33" s="1">
        <v>72</v>
      </c>
      <c r="H33" s="1" t="s">
        <v>4</v>
      </c>
      <c r="I33" s="1" t="s">
        <v>4</v>
      </c>
    </row>
    <row r="34" spans="1:9" x14ac:dyDescent="0.3">
      <c r="A34" s="1" t="s">
        <v>93</v>
      </c>
      <c r="B34" s="1"/>
      <c r="C34" s="1"/>
      <c r="D34" s="2">
        <v>66265</v>
      </c>
      <c r="E34" s="2">
        <v>61286</v>
      </c>
      <c r="F34" s="2">
        <v>52167</v>
      </c>
      <c r="G34" s="2">
        <v>45363</v>
      </c>
      <c r="H34" s="1" t="s">
        <v>4</v>
      </c>
      <c r="I34" s="1" t="s">
        <v>4</v>
      </c>
    </row>
    <row r="35" spans="1:9" x14ac:dyDescent="0.3">
      <c r="A35" s="1" t="s">
        <v>94</v>
      </c>
      <c r="B35" s="1"/>
      <c r="C35" s="1"/>
      <c r="D35" s="2">
        <v>20671</v>
      </c>
      <c r="E35" s="2">
        <v>16424</v>
      </c>
      <c r="F35" s="2">
        <v>13988</v>
      </c>
      <c r="G35" s="2">
        <v>14617</v>
      </c>
      <c r="H35" s="4" t="s">
        <v>4</v>
      </c>
      <c r="I35" s="4" t="s">
        <v>4</v>
      </c>
    </row>
    <row r="36" spans="1:9" x14ac:dyDescent="0.3">
      <c r="A36" s="1" t="s">
        <v>209</v>
      </c>
      <c r="B36" s="1" t="s">
        <v>190</v>
      </c>
      <c r="C36" s="1">
        <v>16</v>
      </c>
      <c r="D36" s="2">
        <v>1588</v>
      </c>
      <c r="E36" s="2">
        <v>1394</v>
      </c>
      <c r="F36" s="2">
        <v>1270</v>
      </c>
      <c r="G36" s="2">
        <v>1120</v>
      </c>
      <c r="H36" s="4" t="s">
        <v>4</v>
      </c>
      <c r="I36" s="4" t="s">
        <v>4</v>
      </c>
    </row>
    <row r="37" spans="1:9" ht="28.8" x14ac:dyDescent="0.3">
      <c r="A37" s="1" t="s">
        <v>95</v>
      </c>
      <c r="B37" s="1"/>
      <c r="C37" s="1"/>
      <c r="D37" s="2">
        <v>19083</v>
      </c>
      <c r="E37" s="2">
        <v>15030</v>
      </c>
      <c r="F37" s="2">
        <v>12718</v>
      </c>
      <c r="G37" s="2">
        <v>13497</v>
      </c>
      <c r="H37" s="1" t="s">
        <v>4</v>
      </c>
      <c r="I37" s="1" t="s">
        <v>4</v>
      </c>
    </row>
    <row r="38" spans="1:9" s="9" customFormat="1" x14ac:dyDescent="0.3">
      <c r="A38" s="7" t="s">
        <v>186</v>
      </c>
      <c r="B38" s="7" t="s">
        <v>190</v>
      </c>
      <c r="C38" s="7">
        <v>16</v>
      </c>
      <c r="D38" s="16"/>
      <c r="E38" s="16"/>
      <c r="F38" s="16"/>
      <c r="G38" s="16"/>
      <c r="H38" s="7"/>
      <c r="I38" s="7"/>
    </row>
    <row r="39" spans="1:9" s="9" customFormat="1" x14ac:dyDescent="0.3">
      <c r="A39" s="7" t="s">
        <v>187</v>
      </c>
      <c r="B39" s="7" t="s">
        <v>190</v>
      </c>
      <c r="C39" s="7">
        <v>16</v>
      </c>
      <c r="D39" s="16"/>
      <c r="E39" s="16"/>
      <c r="F39" s="16"/>
      <c r="G39" s="16"/>
      <c r="H39" s="7"/>
      <c r="I39" s="7"/>
    </row>
    <row r="40" spans="1:9" s="9" customFormat="1" x14ac:dyDescent="0.3">
      <c r="A40" s="7" t="s">
        <v>188</v>
      </c>
      <c r="B40" s="7" t="s">
        <v>190</v>
      </c>
      <c r="C40" s="7">
        <v>16</v>
      </c>
      <c r="D40" s="16"/>
      <c r="E40" s="16"/>
      <c r="F40" s="16"/>
      <c r="G40" s="16"/>
      <c r="H40" s="7"/>
      <c r="I40" s="7"/>
    </row>
    <row r="41" spans="1:9" s="9" customFormat="1" x14ac:dyDescent="0.3">
      <c r="A41" s="7" t="s">
        <v>189</v>
      </c>
      <c r="B41" s="7" t="s">
        <v>190</v>
      </c>
      <c r="C41" s="7">
        <v>16</v>
      </c>
      <c r="D41" s="16"/>
      <c r="E41" s="16"/>
      <c r="F41" s="16"/>
      <c r="G41" s="16"/>
      <c r="H41" s="7"/>
      <c r="I41" s="7"/>
    </row>
    <row r="42" spans="1:9" s="9" customFormat="1" x14ac:dyDescent="0.3">
      <c r="A42" s="7" t="s">
        <v>190</v>
      </c>
      <c r="B42" s="7" t="s">
        <v>190</v>
      </c>
      <c r="C42" s="7">
        <v>16</v>
      </c>
      <c r="D42" s="16"/>
      <c r="E42" s="16"/>
      <c r="F42" s="16"/>
      <c r="G42" s="16"/>
      <c r="H42" s="7"/>
      <c r="I42" s="7"/>
    </row>
    <row r="43" spans="1:9" x14ac:dyDescent="0.3">
      <c r="A43" s="1" t="s">
        <v>96</v>
      </c>
      <c r="B43" s="1"/>
      <c r="C43" s="1"/>
      <c r="D43" s="2">
        <v>16602</v>
      </c>
      <c r="E43" s="2">
        <v>16017</v>
      </c>
      <c r="F43" s="2">
        <v>14046</v>
      </c>
      <c r="G43" s="2">
        <v>14015</v>
      </c>
      <c r="H43" s="4" t="s">
        <v>4</v>
      </c>
      <c r="I43" s="4" t="s">
        <v>4</v>
      </c>
    </row>
    <row r="44" spans="1:9" x14ac:dyDescent="0.3">
      <c r="A44" s="1" t="s">
        <v>97</v>
      </c>
      <c r="B44" s="1" t="s">
        <v>174</v>
      </c>
      <c r="C44" s="1">
        <v>62</v>
      </c>
      <c r="D44" s="2">
        <v>5884</v>
      </c>
      <c r="E44" s="2">
        <v>6564</v>
      </c>
      <c r="F44" s="2">
        <v>6142</v>
      </c>
      <c r="G44" s="2">
        <v>5981</v>
      </c>
      <c r="H44" s="4" t="s">
        <v>4</v>
      </c>
      <c r="I44" s="4" t="s">
        <v>4</v>
      </c>
    </row>
    <row r="45" spans="1:9" x14ac:dyDescent="0.3">
      <c r="A45" s="1" t="s">
        <v>98</v>
      </c>
      <c r="B45" s="1" t="s">
        <v>174</v>
      </c>
      <c r="C45" s="1">
        <v>62</v>
      </c>
      <c r="D45" s="1">
        <v>740</v>
      </c>
      <c r="E45" s="2">
        <v>1371</v>
      </c>
      <c r="F45" s="2">
        <v>1333</v>
      </c>
      <c r="G45" s="2">
        <v>1849</v>
      </c>
      <c r="H45" s="4" t="s">
        <v>4</v>
      </c>
      <c r="I45" s="4" t="s">
        <v>4</v>
      </c>
    </row>
    <row r="46" spans="1:9" s="9" customFormat="1" x14ac:dyDescent="0.3">
      <c r="A46" s="7" t="s">
        <v>175</v>
      </c>
      <c r="B46" s="7" t="s">
        <v>174</v>
      </c>
      <c r="C46" s="7">
        <v>62</v>
      </c>
      <c r="D46" s="7"/>
      <c r="E46" s="16"/>
      <c r="F46" s="16"/>
      <c r="G46" s="16"/>
      <c r="H46" s="8"/>
      <c r="I46" s="8"/>
    </row>
    <row r="47" spans="1:9" s="9" customFormat="1" x14ac:dyDescent="0.3">
      <c r="A47" s="7" t="s">
        <v>176</v>
      </c>
      <c r="B47" s="7" t="s">
        <v>174</v>
      </c>
      <c r="C47" s="7">
        <v>62</v>
      </c>
      <c r="D47" s="7"/>
      <c r="E47" s="16"/>
      <c r="F47" s="16"/>
      <c r="G47" s="16"/>
      <c r="H47" s="8"/>
      <c r="I47" s="8"/>
    </row>
    <row r="48" spans="1:9" s="9" customFormat="1" x14ac:dyDescent="0.3">
      <c r="A48" s="7" t="s">
        <v>177</v>
      </c>
      <c r="B48" s="7" t="s">
        <v>174</v>
      </c>
      <c r="C48" s="7">
        <v>62</v>
      </c>
      <c r="D48" s="7"/>
      <c r="E48" s="16"/>
      <c r="F48" s="16"/>
      <c r="G48" s="16"/>
      <c r="H48" s="8"/>
      <c r="I48" s="8"/>
    </row>
    <row r="49" spans="1:9" s="9" customFormat="1" x14ac:dyDescent="0.3">
      <c r="A49" s="7" t="s">
        <v>178</v>
      </c>
      <c r="B49" s="7" t="s">
        <v>174</v>
      </c>
      <c r="C49" s="7">
        <v>62</v>
      </c>
      <c r="D49" s="7"/>
      <c r="E49" s="16"/>
      <c r="F49" s="16"/>
      <c r="G49" s="16"/>
      <c r="H49" s="8"/>
      <c r="I49" s="8"/>
    </row>
    <row r="50" spans="1:9" ht="28.8" x14ac:dyDescent="0.3">
      <c r="A50" s="1" t="s">
        <v>99</v>
      </c>
      <c r="B50" s="1" t="s">
        <v>174</v>
      </c>
      <c r="C50" s="1">
        <v>62</v>
      </c>
      <c r="D50" s="2">
        <v>9978</v>
      </c>
      <c r="E50" s="2">
        <v>8082</v>
      </c>
      <c r="F50" s="2">
        <v>6571</v>
      </c>
      <c r="G50" s="2">
        <v>6185</v>
      </c>
      <c r="H50" s="1" t="s">
        <v>4</v>
      </c>
      <c r="I50" s="1" t="s">
        <v>4</v>
      </c>
    </row>
    <row r="51" spans="1:9" s="9" customFormat="1" x14ac:dyDescent="0.3">
      <c r="A51" s="7" t="s">
        <v>179</v>
      </c>
      <c r="B51" s="7" t="s">
        <v>174</v>
      </c>
      <c r="C51" s="7">
        <v>62</v>
      </c>
      <c r="D51" s="16"/>
      <c r="E51" s="16"/>
      <c r="F51" s="16"/>
      <c r="G51" s="16"/>
      <c r="H51" s="7"/>
      <c r="I51" s="7"/>
    </row>
    <row r="52" spans="1:9" s="9" customFormat="1" x14ac:dyDescent="0.3">
      <c r="A52" s="7" t="s">
        <v>180</v>
      </c>
      <c r="B52" s="7" t="s">
        <v>174</v>
      </c>
      <c r="C52" s="7">
        <v>62</v>
      </c>
      <c r="D52" s="16"/>
      <c r="E52" s="16"/>
      <c r="F52" s="16"/>
      <c r="G52" s="16"/>
      <c r="H52" s="7"/>
      <c r="I52" s="7"/>
    </row>
    <row r="53" spans="1:9" s="9" customFormat="1" x14ac:dyDescent="0.3">
      <c r="A53" s="7" t="s">
        <v>183</v>
      </c>
      <c r="B53" s="7" t="s">
        <v>174</v>
      </c>
      <c r="C53" s="7">
        <v>62</v>
      </c>
      <c r="D53" s="16"/>
      <c r="E53" s="16"/>
      <c r="F53" s="16"/>
      <c r="G53" s="16"/>
      <c r="H53" s="7"/>
      <c r="I53" s="7"/>
    </row>
    <row r="54" spans="1:9" s="9" customFormat="1" x14ac:dyDescent="0.3">
      <c r="A54" s="7" t="s">
        <v>184</v>
      </c>
      <c r="B54" s="7" t="s">
        <v>174</v>
      </c>
      <c r="C54" s="7">
        <v>62</v>
      </c>
      <c r="D54" s="16"/>
      <c r="E54" s="16"/>
      <c r="F54" s="16"/>
      <c r="G54" s="16"/>
      <c r="H54" s="7"/>
      <c r="I54" s="7"/>
    </row>
    <row r="55" spans="1:9" s="9" customFormat="1" x14ac:dyDescent="0.3">
      <c r="A55" s="7" t="s">
        <v>159</v>
      </c>
      <c r="B55" s="7" t="s">
        <v>174</v>
      </c>
      <c r="C55" s="7">
        <v>62</v>
      </c>
      <c r="D55" s="16"/>
      <c r="E55" s="16"/>
      <c r="F55" s="16"/>
      <c r="G55" s="16"/>
      <c r="H55" s="7"/>
      <c r="I55" s="7"/>
    </row>
    <row r="56" spans="1:9" s="9" customFormat="1" x14ac:dyDescent="0.3">
      <c r="A56" s="7" t="s">
        <v>185</v>
      </c>
      <c r="B56" s="7" t="s">
        <v>174</v>
      </c>
      <c r="C56" s="7">
        <v>62</v>
      </c>
      <c r="D56" s="16"/>
      <c r="E56" s="16"/>
      <c r="F56" s="16"/>
      <c r="G56" s="16"/>
      <c r="H56" s="7"/>
      <c r="I56" s="7"/>
    </row>
    <row r="57" spans="1:9" ht="43.2" x14ac:dyDescent="0.3">
      <c r="A57" s="1" t="s">
        <v>100</v>
      </c>
      <c r="B57" s="1" t="s">
        <v>210</v>
      </c>
      <c r="C57" s="1" t="s">
        <v>211</v>
      </c>
      <c r="D57" s="2">
        <v>1205</v>
      </c>
      <c r="E57" s="2">
        <v>1042</v>
      </c>
      <c r="F57" s="4" t="s">
        <v>4</v>
      </c>
      <c r="G57" s="4" t="s">
        <v>4</v>
      </c>
      <c r="H57" s="4" t="s">
        <v>4</v>
      </c>
      <c r="I57" s="1" t="s">
        <v>4</v>
      </c>
    </row>
    <row r="58" spans="1:9" s="9" customFormat="1" x14ac:dyDescent="0.3">
      <c r="A58" s="7" t="s">
        <v>57</v>
      </c>
      <c r="B58" s="7" t="s">
        <v>212</v>
      </c>
      <c r="C58" s="7">
        <v>58</v>
      </c>
      <c r="D58" s="16"/>
      <c r="E58" s="16"/>
      <c r="F58" s="8"/>
      <c r="G58" s="8"/>
      <c r="H58" s="8"/>
      <c r="I58" s="7"/>
    </row>
    <row r="59" spans="1:9" s="9" customFormat="1" x14ac:dyDescent="0.3">
      <c r="A59" s="7" t="s">
        <v>146</v>
      </c>
      <c r="B59" s="7" t="s">
        <v>212</v>
      </c>
      <c r="C59" s="7">
        <v>58</v>
      </c>
      <c r="D59" s="16"/>
      <c r="E59" s="16"/>
      <c r="F59" s="8"/>
      <c r="G59" s="8"/>
      <c r="H59" s="8"/>
      <c r="I59" s="7"/>
    </row>
    <row r="60" spans="1:9" s="9" customFormat="1" x14ac:dyDescent="0.3">
      <c r="A60" s="7" t="s">
        <v>60</v>
      </c>
      <c r="B60" s="7" t="s">
        <v>60</v>
      </c>
      <c r="C60" s="7">
        <v>59</v>
      </c>
      <c r="D60" s="16"/>
      <c r="E60" s="16"/>
      <c r="F60" s="8"/>
      <c r="G60" s="8"/>
      <c r="H60" s="8"/>
      <c r="I60" s="7"/>
    </row>
    <row r="61" spans="1:9" x14ac:dyDescent="0.3">
      <c r="A61" s="1" t="s">
        <v>101</v>
      </c>
      <c r="B61" s="1"/>
      <c r="C61" s="1"/>
      <c r="D61" s="2">
        <v>5801</v>
      </c>
      <c r="E61" s="2">
        <v>5738</v>
      </c>
      <c r="F61" s="2">
        <v>5373</v>
      </c>
      <c r="G61" s="2">
        <v>5101</v>
      </c>
      <c r="H61" s="4" t="s">
        <v>4</v>
      </c>
      <c r="I61" s="4" t="s">
        <v>4</v>
      </c>
    </row>
    <row r="62" spans="1:9" x14ac:dyDescent="0.3">
      <c r="A62" s="1" t="s">
        <v>102</v>
      </c>
      <c r="B62" s="1"/>
      <c r="C62" s="1"/>
      <c r="D62" s="2">
        <v>2181</v>
      </c>
      <c r="E62" s="2">
        <v>2090</v>
      </c>
      <c r="F62" s="2">
        <v>2018</v>
      </c>
      <c r="G62" s="2">
        <v>2037</v>
      </c>
      <c r="H62" s="4" t="s">
        <v>4</v>
      </c>
      <c r="I62" s="4" t="s">
        <v>4</v>
      </c>
    </row>
    <row r="63" spans="1:9" s="9" customFormat="1" x14ac:dyDescent="0.3">
      <c r="A63" s="7" t="s">
        <v>194</v>
      </c>
      <c r="B63" s="7" t="s">
        <v>196</v>
      </c>
      <c r="C63" s="7">
        <v>14</v>
      </c>
      <c r="D63" s="16"/>
      <c r="E63" s="16"/>
      <c r="F63" s="16"/>
      <c r="G63" s="16"/>
      <c r="H63" s="8"/>
      <c r="I63" s="8"/>
    </row>
    <row r="64" spans="1:9" s="9" customFormat="1" x14ac:dyDescent="0.3">
      <c r="A64" s="7" t="s">
        <v>195</v>
      </c>
      <c r="B64" s="7" t="s">
        <v>196</v>
      </c>
      <c r="C64" s="7">
        <v>14</v>
      </c>
      <c r="D64" s="16"/>
      <c r="E64" s="16"/>
      <c r="F64" s="16"/>
      <c r="G64" s="16"/>
      <c r="H64" s="8"/>
      <c r="I64" s="8"/>
    </row>
    <row r="65" spans="1:9" s="9" customFormat="1" x14ac:dyDescent="0.3">
      <c r="A65" s="7" t="s">
        <v>160</v>
      </c>
      <c r="B65" s="7" t="s">
        <v>196</v>
      </c>
      <c r="C65" s="7">
        <v>14</v>
      </c>
      <c r="D65" s="16"/>
      <c r="E65" s="16"/>
      <c r="F65" s="16"/>
      <c r="G65" s="16"/>
      <c r="H65" s="8"/>
      <c r="I65" s="8"/>
    </row>
    <row r="66" spans="1:9" s="9" customFormat="1" x14ac:dyDescent="0.3">
      <c r="A66" s="7" t="s">
        <v>196</v>
      </c>
      <c r="B66" s="7" t="s">
        <v>196</v>
      </c>
      <c r="C66" s="7">
        <v>14</v>
      </c>
      <c r="D66" s="16"/>
      <c r="E66" s="16"/>
      <c r="F66" s="16"/>
      <c r="G66" s="16"/>
      <c r="H66" s="8"/>
      <c r="I66" s="8"/>
    </row>
    <row r="67" spans="1:9" ht="28.8" x14ac:dyDescent="0.3">
      <c r="A67" s="1" t="s">
        <v>103</v>
      </c>
      <c r="B67" s="1"/>
      <c r="C67" s="1"/>
      <c r="D67" s="2">
        <v>3620</v>
      </c>
      <c r="E67" s="2">
        <v>3648</v>
      </c>
      <c r="F67" s="2">
        <v>3355</v>
      </c>
      <c r="G67" s="2">
        <v>3064</v>
      </c>
      <c r="H67" s="1" t="s">
        <v>4</v>
      </c>
      <c r="I67" s="1" t="s">
        <v>4</v>
      </c>
    </row>
    <row r="68" spans="1:9" s="9" customFormat="1" x14ac:dyDescent="0.3">
      <c r="A68" s="7" t="s">
        <v>197</v>
      </c>
      <c r="B68" s="7" t="s">
        <v>197</v>
      </c>
      <c r="C68" s="7">
        <v>17</v>
      </c>
      <c r="D68" s="16"/>
      <c r="E68" s="16"/>
      <c r="F68" s="16"/>
      <c r="G68" s="16"/>
      <c r="H68" s="36"/>
      <c r="I68" s="7"/>
    </row>
    <row r="69" spans="1:9" s="9" customFormat="1" x14ac:dyDescent="0.3">
      <c r="A69" s="7" t="s">
        <v>198</v>
      </c>
      <c r="B69" s="7" t="s">
        <v>197</v>
      </c>
      <c r="C69" s="7">
        <v>17</v>
      </c>
      <c r="D69" s="16"/>
      <c r="E69" s="16"/>
      <c r="F69" s="16"/>
      <c r="G69" s="16"/>
      <c r="H69" s="36"/>
      <c r="I69" s="7"/>
    </row>
    <row r="70" spans="1:9" x14ac:dyDescent="0.3">
      <c r="A70" s="1" t="s">
        <v>156</v>
      </c>
      <c r="B70" s="1" t="s">
        <v>213</v>
      </c>
      <c r="C70" s="1"/>
      <c r="D70" s="1">
        <v>39</v>
      </c>
      <c r="E70" s="1">
        <v>35</v>
      </c>
      <c r="F70" s="1">
        <v>28</v>
      </c>
      <c r="G70" s="1">
        <v>23</v>
      </c>
      <c r="H70" s="13" t="s">
        <v>4</v>
      </c>
      <c r="I70" s="1" t="s">
        <v>4</v>
      </c>
    </row>
    <row r="71" spans="1:9" s="9" customFormat="1" x14ac:dyDescent="0.3">
      <c r="A71" s="7" t="s">
        <v>104</v>
      </c>
      <c r="B71" s="7" t="s">
        <v>104</v>
      </c>
      <c r="C71" s="7">
        <v>1</v>
      </c>
      <c r="D71" s="7"/>
      <c r="E71" s="7"/>
      <c r="F71" s="7"/>
      <c r="G71" s="7"/>
      <c r="H71" s="36"/>
      <c r="I71" s="7"/>
    </row>
    <row r="72" spans="1:9" x14ac:dyDescent="0.3">
      <c r="A72" s="1" t="s">
        <v>105</v>
      </c>
      <c r="B72" s="1"/>
      <c r="C72" s="1"/>
      <c r="D72" s="2">
        <v>11067</v>
      </c>
      <c r="E72" s="2">
        <v>10146</v>
      </c>
      <c r="F72" s="2">
        <v>8007</v>
      </c>
      <c r="G72" s="2">
        <v>4734</v>
      </c>
      <c r="H72" s="4" t="s">
        <v>4</v>
      </c>
      <c r="I72" s="4" t="s">
        <v>4</v>
      </c>
    </row>
    <row r="73" spans="1:9" x14ac:dyDescent="0.3">
      <c r="A73" s="1" t="s">
        <v>106</v>
      </c>
      <c r="B73" s="1" t="s">
        <v>214</v>
      </c>
      <c r="C73" s="1"/>
      <c r="D73" s="2">
        <v>1913</v>
      </c>
      <c r="E73" s="2">
        <v>1954</v>
      </c>
      <c r="F73" s="2">
        <v>1634</v>
      </c>
      <c r="G73" s="1">
        <v>851</v>
      </c>
      <c r="H73" s="4" t="s">
        <v>4</v>
      </c>
      <c r="I73" s="4" t="s">
        <v>4</v>
      </c>
    </row>
    <row r="74" spans="1:9" s="9" customFormat="1" x14ac:dyDescent="0.3">
      <c r="A74" s="7" t="s">
        <v>165</v>
      </c>
      <c r="B74" s="7" t="s">
        <v>153</v>
      </c>
      <c r="C74" s="7">
        <v>7</v>
      </c>
      <c r="D74" s="16"/>
      <c r="E74" s="16"/>
      <c r="F74" s="16"/>
      <c r="G74" s="7"/>
      <c r="H74" s="8"/>
      <c r="I74" s="8"/>
    </row>
    <row r="75" spans="1:9" s="9" customFormat="1" x14ac:dyDescent="0.3">
      <c r="A75" s="7" t="s">
        <v>170</v>
      </c>
      <c r="B75" s="7" t="s">
        <v>153</v>
      </c>
      <c r="C75" s="7">
        <v>7</v>
      </c>
      <c r="D75" s="16"/>
      <c r="E75" s="16"/>
      <c r="F75" s="16"/>
      <c r="G75" s="7"/>
      <c r="H75" s="8"/>
      <c r="I75" s="8"/>
    </row>
    <row r="76" spans="1:9" ht="28.8" x14ac:dyDescent="0.3">
      <c r="A76" s="1" t="s">
        <v>107</v>
      </c>
      <c r="B76" s="1"/>
      <c r="C76" s="1"/>
      <c r="D76" s="2">
        <v>4041</v>
      </c>
      <c r="E76" s="2">
        <v>3824</v>
      </c>
      <c r="F76" s="2">
        <v>2840</v>
      </c>
      <c r="G76" s="2">
        <v>2181</v>
      </c>
      <c r="H76" s="4" t="s">
        <v>4</v>
      </c>
      <c r="I76" s="4" t="s">
        <v>4</v>
      </c>
    </row>
    <row r="77" spans="1:9" s="9" customFormat="1" x14ac:dyDescent="0.3">
      <c r="A77" s="7" t="s">
        <v>166</v>
      </c>
      <c r="B77" s="7" t="s">
        <v>153</v>
      </c>
      <c r="C77" s="7">
        <v>7</v>
      </c>
      <c r="D77" s="16"/>
      <c r="E77" s="16"/>
      <c r="F77" s="16"/>
      <c r="G77" s="16"/>
      <c r="H77" s="8"/>
      <c r="I77" s="8"/>
    </row>
    <row r="78" spans="1:9" s="9" customFormat="1" x14ac:dyDescent="0.3">
      <c r="A78" s="7" t="s">
        <v>167</v>
      </c>
      <c r="B78" s="7" t="s">
        <v>153</v>
      </c>
      <c r="C78" s="7">
        <v>7</v>
      </c>
      <c r="D78" s="16"/>
      <c r="E78" s="16"/>
      <c r="F78" s="16"/>
      <c r="G78" s="16"/>
      <c r="H78" s="8"/>
      <c r="I78" s="8"/>
    </row>
    <row r="79" spans="1:9" s="9" customFormat="1" x14ac:dyDescent="0.3">
      <c r="A79" s="7" t="s">
        <v>168</v>
      </c>
      <c r="B79" s="7" t="s">
        <v>153</v>
      </c>
      <c r="C79" s="7">
        <v>7</v>
      </c>
      <c r="D79" s="16"/>
      <c r="E79" s="16"/>
      <c r="F79" s="16"/>
      <c r="G79" s="16"/>
      <c r="H79" s="8"/>
      <c r="I79" s="8"/>
    </row>
    <row r="80" spans="1:9" s="9" customFormat="1" x14ac:dyDescent="0.3">
      <c r="A80" s="7" t="s">
        <v>169</v>
      </c>
      <c r="B80" s="7" t="s">
        <v>153</v>
      </c>
      <c r="C80" s="7">
        <v>7</v>
      </c>
      <c r="D80" s="16"/>
      <c r="E80" s="16"/>
      <c r="F80" s="16"/>
      <c r="G80" s="16"/>
      <c r="H80" s="8"/>
      <c r="I80" s="8"/>
    </row>
    <row r="81" spans="1:9" x14ac:dyDescent="0.3">
      <c r="A81" s="1" t="s">
        <v>108</v>
      </c>
      <c r="B81" s="1" t="s">
        <v>108</v>
      </c>
      <c r="C81" s="1">
        <v>21</v>
      </c>
      <c r="D81" s="2">
        <v>5112</v>
      </c>
      <c r="E81" s="2">
        <v>4368</v>
      </c>
      <c r="F81" s="2">
        <v>3533</v>
      </c>
      <c r="G81" s="2">
        <v>1702</v>
      </c>
      <c r="H81" s="1" t="s">
        <v>4</v>
      </c>
      <c r="I81" s="1" t="s">
        <v>4</v>
      </c>
    </row>
    <row r="82" spans="1:9" x14ac:dyDescent="0.3">
      <c r="A82" s="1" t="s">
        <v>109</v>
      </c>
      <c r="B82" s="1"/>
      <c r="C82" s="1"/>
      <c r="D82" s="1">
        <v>11</v>
      </c>
      <c r="E82" s="4" t="s">
        <v>4</v>
      </c>
      <c r="F82" s="4" t="s">
        <v>4</v>
      </c>
      <c r="G82" s="4" t="s">
        <v>4</v>
      </c>
      <c r="H82" s="4" t="s">
        <v>4</v>
      </c>
      <c r="I82" s="4" t="s">
        <v>4</v>
      </c>
    </row>
    <row r="83" spans="1:9" x14ac:dyDescent="0.3">
      <c r="A83" s="1" t="s">
        <v>110</v>
      </c>
      <c r="B83" s="1"/>
      <c r="C83" s="1"/>
      <c r="D83" s="2">
        <v>10881</v>
      </c>
      <c r="E83" s="2">
        <v>11885</v>
      </c>
      <c r="F83" s="2">
        <v>10725</v>
      </c>
      <c r="G83" s="2">
        <v>6873</v>
      </c>
      <c r="H83" s="4" t="s">
        <v>4</v>
      </c>
      <c r="I83" s="4" t="s">
        <v>4</v>
      </c>
    </row>
    <row r="84" spans="1:9" x14ac:dyDescent="0.3">
      <c r="A84" s="1" t="s">
        <v>111</v>
      </c>
      <c r="B84" s="1" t="s">
        <v>152</v>
      </c>
      <c r="C84" s="1">
        <v>18</v>
      </c>
      <c r="D84" s="1">
        <v>66</v>
      </c>
      <c r="E84" s="1">
        <v>124</v>
      </c>
      <c r="F84" s="1">
        <v>440</v>
      </c>
      <c r="G84" s="1">
        <v>423</v>
      </c>
      <c r="H84" s="4" t="s">
        <v>4</v>
      </c>
      <c r="I84" s="4" t="s">
        <v>4</v>
      </c>
    </row>
    <row r="85" spans="1:9" x14ac:dyDescent="0.3">
      <c r="A85" s="1" t="s">
        <v>112</v>
      </c>
      <c r="B85" s="1" t="s">
        <v>215</v>
      </c>
      <c r="C85" s="1"/>
      <c r="D85" s="2">
        <v>10815</v>
      </c>
      <c r="E85" s="2">
        <v>11762</v>
      </c>
      <c r="F85" s="2">
        <v>10285</v>
      </c>
      <c r="G85" s="2">
        <v>6450</v>
      </c>
      <c r="H85" s="1" t="s">
        <v>4</v>
      </c>
      <c r="I85" s="1" t="s">
        <v>4</v>
      </c>
    </row>
    <row r="86" spans="1:9" x14ac:dyDescent="0.3">
      <c r="A86" s="1" t="s">
        <v>154</v>
      </c>
      <c r="B86" s="1"/>
      <c r="C86" s="1"/>
      <c r="D86" s="2">
        <v>10590</v>
      </c>
      <c r="E86" s="2">
        <v>10954</v>
      </c>
      <c r="F86" s="2">
        <v>9774</v>
      </c>
      <c r="G86" s="2">
        <v>9980</v>
      </c>
      <c r="H86" s="1" t="s">
        <v>4</v>
      </c>
      <c r="I86" s="13" t="s">
        <v>4</v>
      </c>
    </row>
    <row r="87" spans="1:9" ht="28.8" x14ac:dyDescent="0.3">
      <c r="A87" s="1" t="s">
        <v>113</v>
      </c>
      <c r="B87" s="10" t="s">
        <v>216</v>
      </c>
      <c r="C87" s="1"/>
      <c r="D87" s="2">
        <v>2745</v>
      </c>
      <c r="E87" s="2">
        <v>3310</v>
      </c>
      <c r="F87" s="2">
        <v>2368</v>
      </c>
      <c r="G87" s="2">
        <v>1748</v>
      </c>
      <c r="H87" s="1" t="s">
        <v>4</v>
      </c>
      <c r="I87" s="1" t="s">
        <v>4</v>
      </c>
    </row>
    <row r="88" spans="1:9" x14ac:dyDescent="0.3">
      <c r="A88" s="1" t="s">
        <v>114</v>
      </c>
      <c r="B88" s="1"/>
      <c r="C88" s="1"/>
      <c r="D88" s="1">
        <v>592</v>
      </c>
      <c r="E88" s="1">
        <v>534</v>
      </c>
      <c r="F88" s="1">
        <v>505</v>
      </c>
      <c r="G88" s="1">
        <v>488</v>
      </c>
      <c r="H88" s="1" t="s">
        <v>4</v>
      </c>
      <c r="I88" s="1" t="s">
        <v>4</v>
      </c>
    </row>
    <row r="89" spans="1:9" x14ac:dyDescent="0.3">
      <c r="A89" s="1" t="s">
        <v>226</v>
      </c>
      <c r="B89" s="1" t="s">
        <v>229</v>
      </c>
      <c r="C89" s="1">
        <v>2</v>
      </c>
      <c r="D89" s="1"/>
      <c r="E89" s="1"/>
      <c r="F89" s="1"/>
      <c r="G89" s="1"/>
      <c r="H89" s="1"/>
      <c r="I89" s="1"/>
    </row>
    <row r="90" spans="1:9" x14ac:dyDescent="0.3">
      <c r="A90" s="1" t="s">
        <v>227</v>
      </c>
      <c r="B90" s="1" t="s">
        <v>229</v>
      </c>
      <c r="C90" s="1">
        <v>2</v>
      </c>
      <c r="D90" s="1"/>
      <c r="E90" s="1"/>
      <c r="F90" s="1"/>
      <c r="G90" s="1"/>
      <c r="H90" s="1"/>
      <c r="I90" s="1"/>
    </row>
    <row r="91" spans="1:9" x14ac:dyDescent="0.3">
      <c r="A91" s="1" t="s">
        <v>228</v>
      </c>
      <c r="B91" s="1" t="s">
        <v>229</v>
      </c>
      <c r="C91" s="1">
        <v>2</v>
      </c>
      <c r="D91" s="1"/>
      <c r="E91" s="1"/>
      <c r="F91" s="1"/>
      <c r="G91" s="1"/>
      <c r="H91" s="1"/>
      <c r="I91" s="1"/>
    </row>
    <row r="92" spans="1:9" x14ac:dyDescent="0.3">
      <c r="A92" s="1" t="s">
        <v>115</v>
      </c>
      <c r="B92" s="1"/>
      <c r="C92" s="1"/>
      <c r="D92" s="2">
        <v>7253</v>
      </c>
      <c r="E92" s="2">
        <v>7110</v>
      </c>
      <c r="F92" s="2">
        <v>6902</v>
      </c>
      <c r="G92" s="2">
        <v>7744</v>
      </c>
      <c r="H92" s="4" t="s">
        <v>4</v>
      </c>
      <c r="I92" s="4" t="s">
        <v>4</v>
      </c>
    </row>
    <row r="93" spans="1:9" ht="28.8" x14ac:dyDescent="0.3">
      <c r="A93" s="1" t="s">
        <v>116</v>
      </c>
      <c r="B93" s="1"/>
      <c r="C93" s="1"/>
      <c r="D93" s="2">
        <v>2392</v>
      </c>
      <c r="E93" s="2">
        <v>2065</v>
      </c>
      <c r="F93" s="2">
        <v>1743</v>
      </c>
      <c r="G93" s="2">
        <v>1608</v>
      </c>
      <c r="H93" s="4" t="s">
        <v>4</v>
      </c>
      <c r="I93" s="4" t="s">
        <v>4</v>
      </c>
    </row>
    <row r="94" spans="1:9" s="9" customFormat="1" x14ac:dyDescent="0.3">
      <c r="A94" s="7" t="s">
        <v>200</v>
      </c>
      <c r="B94" s="7" t="s">
        <v>158</v>
      </c>
      <c r="C94" s="7">
        <v>49</v>
      </c>
      <c r="D94" s="16"/>
      <c r="E94" s="16"/>
      <c r="F94" s="16"/>
      <c r="G94" s="16"/>
      <c r="H94" s="8"/>
      <c r="I94" s="8"/>
    </row>
    <row r="95" spans="1:9" s="9" customFormat="1" x14ac:dyDescent="0.3">
      <c r="A95" s="7" t="s">
        <v>201</v>
      </c>
      <c r="B95" s="7" t="s">
        <v>158</v>
      </c>
      <c r="C95" s="7">
        <v>49</v>
      </c>
      <c r="D95" s="16"/>
      <c r="E95" s="16"/>
      <c r="F95" s="16"/>
      <c r="G95" s="16"/>
      <c r="H95" s="8"/>
      <c r="I95" s="8"/>
    </row>
    <row r="96" spans="1:9" s="9" customFormat="1" x14ac:dyDescent="0.3">
      <c r="A96" s="7" t="s">
        <v>202</v>
      </c>
      <c r="B96" s="7" t="s">
        <v>158</v>
      </c>
      <c r="C96" s="7">
        <v>49</v>
      </c>
      <c r="D96" s="16"/>
      <c r="E96" s="16"/>
      <c r="F96" s="16"/>
      <c r="G96" s="16"/>
      <c r="H96" s="8"/>
      <c r="I96" s="8"/>
    </row>
    <row r="97" spans="1:9" x14ac:dyDescent="0.3">
      <c r="A97" s="1" t="s">
        <v>117</v>
      </c>
      <c r="B97" s="1"/>
      <c r="C97" s="1"/>
      <c r="D97" s="2">
        <v>1674</v>
      </c>
      <c r="E97" s="2">
        <v>1791</v>
      </c>
      <c r="F97" s="2">
        <v>1746</v>
      </c>
      <c r="G97" s="2">
        <v>2372</v>
      </c>
      <c r="H97" s="4" t="s">
        <v>4</v>
      </c>
      <c r="I97" s="4" t="s">
        <v>4</v>
      </c>
    </row>
    <row r="98" spans="1:9" s="9" customFormat="1" x14ac:dyDescent="0.3">
      <c r="A98" s="7" t="s">
        <v>217</v>
      </c>
      <c r="B98" s="7" t="s">
        <v>217</v>
      </c>
      <c r="C98" s="7">
        <v>65</v>
      </c>
      <c r="D98" s="16"/>
      <c r="E98" s="16"/>
      <c r="F98" s="16"/>
      <c r="G98" s="16"/>
      <c r="H98" s="8"/>
      <c r="I98" s="8"/>
    </row>
    <row r="99" spans="1:9" s="9" customFormat="1" x14ac:dyDescent="0.3">
      <c r="A99" s="7" t="s">
        <v>218</v>
      </c>
      <c r="B99" s="7" t="s">
        <v>217</v>
      </c>
      <c r="C99" s="7">
        <v>65</v>
      </c>
      <c r="D99" s="16"/>
      <c r="E99" s="16"/>
      <c r="F99" s="16"/>
      <c r="G99" s="16"/>
      <c r="H99" s="8"/>
      <c r="I99" s="8"/>
    </row>
    <row r="100" spans="1:9" ht="28.8" x14ac:dyDescent="0.3">
      <c r="A100" s="1" t="s">
        <v>219</v>
      </c>
      <c r="B100" s="10" t="s">
        <v>216</v>
      </c>
      <c r="C100" s="1"/>
      <c r="D100" s="14">
        <v>1272</v>
      </c>
      <c r="E100" s="2">
        <v>1082</v>
      </c>
      <c r="F100" s="1">
        <v>982</v>
      </c>
      <c r="G100" s="1">
        <v>906</v>
      </c>
      <c r="H100" s="4" t="s">
        <v>4</v>
      </c>
      <c r="I100" s="4" t="s">
        <v>4</v>
      </c>
    </row>
    <row r="101" spans="1:9" x14ac:dyDescent="0.3">
      <c r="A101" s="1" t="s">
        <v>85</v>
      </c>
      <c r="B101" s="10" t="s">
        <v>216</v>
      </c>
      <c r="C101" s="1"/>
      <c r="D101" s="2">
        <v>1915</v>
      </c>
      <c r="E101" s="2">
        <v>1731</v>
      </c>
      <c r="F101" s="2">
        <v>1581</v>
      </c>
      <c r="G101" s="2">
        <v>1697</v>
      </c>
      <c r="H101" s="4" t="s">
        <v>4</v>
      </c>
      <c r="I101" s="4" t="s">
        <v>4</v>
      </c>
    </row>
    <row r="102" spans="1:9" x14ac:dyDescent="0.3">
      <c r="A102" s="1" t="s">
        <v>118</v>
      </c>
      <c r="B102" s="1"/>
      <c r="C102" s="1"/>
      <c r="D102" s="4" t="s">
        <v>4</v>
      </c>
      <c r="E102" s="1">
        <v>441</v>
      </c>
      <c r="F102" s="1">
        <v>809</v>
      </c>
      <c r="G102" s="1">
        <v>803</v>
      </c>
      <c r="H102" s="4" t="s">
        <v>4</v>
      </c>
      <c r="I102" s="4" t="s">
        <v>4</v>
      </c>
    </row>
    <row r="103" spans="1:9" s="9" customFormat="1" x14ac:dyDescent="0.3">
      <c r="A103" s="7" t="s">
        <v>139</v>
      </c>
      <c r="B103" s="7" t="s">
        <v>139</v>
      </c>
      <c r="C103" s="7">
        <v>44</v>
      </c>
      <c r="D103" s="8"/>
      <c r="E103" s="7"/>
      <c r="F103" s="7"/>
      <c r="G103" s="7"/>
      <c r="H103" s="8"/>
      <c r="I103" s="8"/>
    </row>
    <row r="104" spans="1:9" x14ac:dyDescent="0.3">
      <c r="A104" s="1" t="s">
        <v>119</v>
      </c>
      <c r="B104" s="1"/>
      <c r="C104" s="1"/>
      <c r="D104" s="4" t="s">
        <v>4</v>
      </c>
      <c r="E104" s="4" t="s">
        <v>4</v>
      </c>
      <c r="F104" s="1">
        <v>40</v>
      </c>
      <c r="G104" s="1">
        <v>358</v>
      </c>
      <c r="H104" s="1" t="s">
        <v>4</v>
      </c>
      <c r="I104" s="1" t="s">
        <v>4</v>
      </c>
    </row>
    <row r="105" spans="1:9" s="9" customFormat="1" x14ac:dyDescent="0.3">
      <c r="A105" s="7" t="s">
        <v>173</v>
      </c>
      <c r="B105" s="7" t="s">
        <v>173</v>
      </c>
      <c r="C105" s="7">
        <v>45</v>
      </c>
      <c r="D105" s="8"/>
      <c r="E105" s="8"/>
      <c r="F105" s="7"/>
      <c r="G105" s="7"/>
      <c r="H105" s="7"/>
      <c r="I105" s="7"/>
    </row>
    <row r="106" spans="1:9" x14ac:dyDescent="0.3">
      <c r="A106" s="1" t="s">
        <v>120</v>
      </c>
      <c r="B106" s="1"/>
      <c r="C106" s="1"/>
      <c r="D106" s="2">
        <v>92330</v>
      </c>
      <c r="E106" s="2">
        <v>87634</v>
      </c>
      <c r="F106" s="2">
        <v>74854</v>
      </c>
      <c r="G106" s="2">
        <v>67128</v>
      </c>
      <c r="H106" s="2">
        <v>52025</v>
      </c>
      <c r="I106" s="2">
        <v>50659</v>
      </c>
    </row>
    <row r="107" spans="1:9" x14ac:dyDescent="0.3">
      <c r="A107" s="1" t="s">
        <v>121</v>
      </c>
      <c r="B107" s="1"/>
      <c r="C107" s="1"/>
      <c r="D107" s="1">
        <v>252</v>
      </c>
      <c r="E107" s="1">
        <v>239</v>
      </c>
      <c r="F107" s="1">
        <v>205</v>
      </c>
      <c r="G107" s="1">
        <v>184</v>
      </c>
      <c r="H107" s="1">
        <v>142</v>
      </c>
      <c r="I107" s="1">
        <v>138</v>
      </c>
    </row>
    <row r="110" spans="1:9" x14ac:dyDescent="0.3">
      <c r="A110" t="s">
        <v>221</v>
      </c>
    </row>
    <row r="111" spans="1:9" x14ac:dyDescent="0.3">
      <c r="A111" t="s">
        <v>222</v>
      </c>
    </row>
  </sheetData>
  <pageMargins left="0.7" right="0.7" top="0.75" bottom="0.75" header="0.3" footer="0.3"/>
  <pageSetup paperSize="9" orientation="portrait" horizontalDpi="4294967293" verticalDpi="4294967293"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O235"/>
  <sheetViews>
    <sheetView tabSelected="1" topLeftCell="A6" workbookViewId="0">
      <selection activeCell="D22" sqref="D22"/>
    </sheetView>
  </sheetViews>
  <sheetFormatPr defaultRowHeight="14.4" x14ac:dyDescent="0.3"/>
  <cols>
    <col min="1" max="1" width="28" customWidth="1"/>
    <col min="2" max="2" width="21" bestFit="1" customWidth="1"/>
    <col min="4" max="4" width="25.88671875" bestFit="1" customWidth="1"/>
    <col min="13" max="13" width="10" bestFit="1" customWidth="1"/>
  </cols>
  <sheetData>
    <row r="1" spans="1:15" x14ac:dyDescent="0.3">
      <c r="A1" t="s">
        <v>295</v>
      </c>
      <c r="B1" s="5" t="s">
        <v>299</v>
      </c>
    </row>
    <row r="2" spans="1:15" x14ac:dyDescent="0.3">
      <c r="A2" t="s">
        <v>408</v>
      </c>
      <c r="B2" s="5" t="s">
        <v>409</v>
      </c>
      <c r="H2" t="s">
        <v>410</v>
      </c>
      <c r="K2" t="s">
        <v>411</v>
      </c>
    </row>
    <row r="3" spans="1:15" x14ac:dyDescent="0.3">
      <c r="A3" t="s">
        <v>430</v>
      </c>
      <c r="B3" s="5" t="s">
        <v>425</v>
      </c>
    </row>
    <row r="4" spans="1:15" x14ac:dyDescent="0.3">
      <c r="A4" t="s">
        <v>432</v>
      </c>
      <c r="B4" s="5" t="s">
        <v>433</v>
      </c>
      <c r="K4" t="s">
        <v>439</v>
      </c>
      <c r="M4">
        <v>800000000</v>
      </c>
      <c r="N4">
        <f>M4/20</f>
        <v>40000000</v>
      </c>
      <c r="O4">
        <f>N4/365</f>
        <v>109589.04109589041</v>
      </c>
    </row>
    <row r="5" spans="1:15" x14ac:dyDescent="0.3">
      <c r="A5" t="s">
        <v>435</v>
      </c>
      <c r="B5" s="5" t="s">
        <v>434</v>
      </c>
    </row>
    <row r="6" spans="1:15" x14ac:dyDescent="0.3">
      <c r="B6" s="5"/>
    </row>
    <row r="7" spans="1:15" x14ac:dyDescent="0.3">
      <c r="B7" t="s">
        <v>429</v>
      </c>
    </row>
    <row r="8" spans="1:15" x14ac:dyDescent="0.3">
      <c r="A8" t="s">
        <v>223</v>
      </c>
      <c r="B8" t="s">
        <v>134</v>
      </c>
      <c r="C8" t="s">
        <v>138</v>
      </c>
      <c r="D8" t="s">
        <v>277</v>
      </c>
      <c r="E8" t="s">
        <v>426</v>
      </c>
      <c r="F8" t="s">
        <v>427</v>
      </c>
      <c r="G8" t="s">
        <v>295</v>
      </c>
      <c r="H8" t="s">
        <v>408</v>
      </c>
      <c r="I8" t="s">
        <v>430</v>
      </c>
      <c r="J8" t="s">
        <v>431</v>
      </c>
      <c r="K8" t="s">
        <v>436</v>
      </c>
    </row>
    <row r="9" spans="1:15" hidden="1" x14ac:dyDescent="0.3">
      <c r="A9" t="s">
        <v>236</v>
      </c>
      <c r="B9" t="s">
        <v>236</v>
      </c>
      <c r="C9">
        <v>6</v>
      </c>
      <c r="D9" t="s">
        <v>278</v>
      </c>
      <c r="G9">
        <v>0</v>
      </c>
      <c r="I9" s="43"/>
    </row>
    <row r="10" spans="1:15" s="6" customFormat="1" hidden="1" x14ac:dyDescent="0.3">
      <c r="A10" t="s">
        <v>259</v>
      </c>
      <c r="B10" t="s">
        <v>259</v>
      </c>
      <c r="C10">
        <v>31</v>
      </c>
      <c r="D10" t="s">
        <v>278</v>
      </c>
      <c r="E10"/>
      <c r="F10"/>
      <c r="G10">
        <v>2531614</v>
      </c>
      <c r="H10" s="45">
        <v>2980696</v>
      </c>
      <c r="I10" s="47">
        <v>6111481.7199999997</v>
      </c>
      <c r="J10"/>
      <c r="K10">
        <f>Table1[[#This Row],[Total-2016]]</f>
        <v>6111481.7199999997</v>
      </c>
    </row>
    <row r="11" spans="1:15" s="6" customFormat="1" hidden="1" x14ac:dyDescent="0.3">
      <c r="A11" t="s">
        <v>297</v>
      </c>
      <c r="B11" t="s">
        <v>297</v>
      </c>
      <c r="C11">
        <v>55</v>
      </c>
      <c r="D11" t="s">
        <v>278</v>
      </c>
      <c r="E11"/>
      <c r="F11"/>
      <c r="G11">
        <v>136428</v>
      </c>
      <c r="H11"/>
      <c r="I11" s="43">
        <v>81509.19</v>
      </c>
      <c r="J11"/>
      <c r="K11">
        <f>Table1[[#This Row],[Total-2016]]</f>
        <v>81509.19</v>
      </c>
    </row>
    <row r="12" spans="1:15" s="6" customFormat="1" hidden="1" x14ac:dyDescent="0.3">
      <c r="A12" t="s">
        <v>18</v>
      </c>
      <c r="B12" t="s">
        <v>135</v>
      </c>
      <c r="C12">
        <v>61</v>
      </c>
      <c r="D12" t="s">
        <v>278</v>
      </c>
      <c r="E12"/>
      <c r="F12"/>
      <c r="G12">
        <v>561785</v>
      </c>
      <c r="H12"/>
      <c r="I12" s="43">
        <v>690585.14</v>
      </c>
      <c r="J12"/>
      <c r="K12">
        <f>Table1[[#This Row],[Total-2016]]</f>
        <v>690585.14</v>
      </c>
    </row>
    <row r="13" spans="1:15" s="6" customFormat="1" hidden="1" x14ac:dyDescent="0.3">
      <c r="A13" t="s">
        <v>296</v>
      </c>
      <c r="B13" t="s">
        <v>135</v>
      </c>
      <c r="C13">
        <v>61</v>
      </c>
      <c r="D13" t="s">
        <v>278</v>
      </c>
      <c r="E13"/>
      <c r="F13"/>
      <c r="G13">
        <v>132862</v>
      </c>
      <c r="H13"/>
      <c r="I13" s="43">
        <v>160591.74</v>
      </c>
      <c r="J13"/>
      <c r="K13">
        <f>Table1[[#This Row],[Total-2016]]</f>
        <v>160591.74</v>
      </c>
    </row>
    <row r="14" spans="1:15" hidden="1" x14ac:dyDescent="0.3">
      <c r="A14" t="s">
        <v>135</v>
      </c>
      <c r="B14" t="s">
        <v>135</v>
      </c>
      <c r="C14">
        <v>61</v>
      </c>
      <c r="D14" t="s">
        <v>278</v>
      </c>
      <c r="G14">
        <v>14230297</v>
      </c>
      <c r="H14" s="40">
        <v>26202966</v>
      </c>
      <c r="I14" s="43">
        <v>12182703.539999999</v>
      </c>
      <c r="K14">
        <f>Table1[[#This Row],[Total-2016]]</f>
        <v>12182703.539999999</v>
      </c>
    </row>
    <row r="15" spans="1:15" hidden="1" x14ac:dyDescent="0.3">
      <c r="A15" t="s">
        <v>262</v>
      </c>
      <c r="B15" t="s">
        <v>135</v>
      </c>
      <c r="C15">
        <v>61</v>
      </c>
      <c r="D15" t="s">
        <v>278</v>
      </c>
      <c r="G15">
        <v>0</v>
      </c>
      <c r="H15" t="s">
        <v>4</v>
      </c>
      <c r="I15" s="43" t="s">
        <v>4</v>
      </c>
      <c r="K15" t="str">
        <f>Table1[[#This Row],[Total-2016]]</f>
        <v>-</v>
      </c>
    </row>
    <row r="16" spans="1:15" hidden="1" x14ac:dyDescent="0.3">
      <c r="A16" t="s">
        <v>143</v>
      </c>
      <c r="B16" t="s">
        <v>135</v>
      </c>
      <c r="C16">
        <v>61</v>
      </c>
      <c r="D16" t="s">
        <v>278</v>
      </c>
      <c r="G16">
        <v>2417066</v>
      </c>
      <c r="H16" s="49" t="s">
        <v>4</v>
      </c>
      <c r="I16" s="50">
        <v>2401249.5299999998</v>
      </c>
      <c r="K16">
        <f>Table1[[#This Row],[Total-2016]]</f>
        <v>2401249.5299999998</v>
      </c>
    </row>
    <row r="17" spans="1:11" hidden="1" x14ac:dyDescent="0.3">
      <c r="A17" t="s">
        <v>300</v>
      </c>
      <c r="B17" t="s">
        <v>135</v>
      </c>
      <c r="C17">
        <v>61</v>
      </c>
      <c r="D17" t="s">
        <v>278</v>
      </c>
      <c r="G17">
        <v>129193</v>
      </c>
      <c r="H17" s="49"/>
      <c r="I17" s="50">
        <v>94420.78</v>
      </c>
      <c r="K17">
        <f>Table1[[#This Row],[Total-2016]]</f>
        <v>94420.78</v>
      </c>
    </row>
    <row r="18" spans="1:11" hidden="1" x14ac:dyDescent="0.3">
      <c r="A18" t="s">
        <v>263</v>
      </c>
      <c r="B18" t="s">
        <v>135</v>
      </c>
      <c r="C18">
        <v>61</v>
      </c>
      <c r="D18" t="s">
        <v>278</v>
      </c>
      <c r="G18">
        <v>393262</v>
      </c>
      <c r="I18" s="43">
        <v>545454.49</v>
      </c>
      <c r="K18">
        <f>Table1[[#This Row],[Total-2016]]</f>
        <v>545454.49</v>
      </c>
    </row>
    <row r="19" spans="1:11" hidden="1" x14ac:dyDescent="0.3">
      <c r="A19" t="s">
        <v>302</v>
      </c>
      <c r="B19" t="s">
        <v>135</v>
      </c>
      <c r="C19">
        <v>61</v>
      </c>
      <c r="D19" t="s">
        <v>278</v>
      </c>
      <c r="G19">
        <v>1269459</v>
      </c>
      <c r="I19" s="43">
        <v>1663605.55</v>
      </c>
      <c r="K19">
        <f>Table1[[#This Row],[Total-2016]]</f>
        <v>1663605.55</v>
      </c>
    </row>
    <row r="20" spans="1:11" hidden="1" x14ac:dyDescent="0.3">
      <c r="A20" t="s">
        <v>264</v>
      </c>
      <c r="B20" t="s">
        <v>135</v>
      </c>
      <c r="C20">
        <v>61</v>
      </c>
      <c r="D20" t="s">
        <v>278</v>
      </c>
      <c r="G20">
        <v>34675</v>
      </c>
      <c r="I20" s="43">
        <v>17878.400000000001</v>
      </c>
      <c r="K20">
        <f>Table1[[#This Row],[Total-2016]]</f>
        <v>17878.400000000001</v>
      </c>
    </row>
    <row r="21" spans="1:11" hidden="1" x14ac:dyDescent="0.3">
      <c r="A21" t="s">
        <v>16</v>
      </c>
      <c r="B21" t="s">
        <v>135</v>
      </c>
      <c r="C21">
        <v>61</v>
      </c>
      <c r="D21" t="s">
        <v>278</v>
      </c>
      <c r="G21">
        <v>2689772</v>
      </c>
      <c r="I21" s="43">
        <v>2781871.8</v>
      </c>
      <c r="K21">
        <f>Table1[[#This Row],[Total-2016]]</f>
        <v>2781871.8</v>
      </c>
    </row>
    <row r="22" spans="1:11" hidden="1" x14ac:dyDescent="0.3">
      <c r="A22" t="s">
        <v>15</v>
      </c>
      <c r="B22" t="s">
        <v>135</v>
      </c>
      <c r="C22">
        <v>61</v>
      </c>
      <c r="D22" t="s">
        <v>278</v>
      </c>
      <c r="G22">
        <v>1214032</v>
      </c>
      <c r="I22" s="43">
        <v>1166672.45</v>
      </c>
      <c r="K22">
        <f>Table1[[#This Row],[Total-2016]]</f>
        <v>1166672.45</v>
      </c>
    </row>
    <row r="23" spans="1:11" ht="15.6" hidden="1" thickTop="1" thickBot="1" x14ac:dyDescent="0.35">
      <c r="A23" t="s">
        <v>265</v>
      </c>
      <c r="B23" t="s">
        <v>135</v>
      </c>
      <c r="C23">
        <v>61</v>
      </c>
      <c r="D23" t="s">
        <v>278</v>
      </c>
      <c r="G23">
        <v>92017</v>
      </c>
      <c r="H23" s="46"/>
      <c r="I23" s="48">
        <v>110193.19</v>
      </c>
      <c r="K23">
        <f>Table1[[#This Row],[Total-2016]]</f>
        <v>110193.19</v>
      </c>
    </row>
    <row r="24" spans="1:11" ht="15.6" hidden="1" thickTop="1" thickBot="1" x14ac:dyDescent="0.35">
      <c r="A24" t="s">
        <v>31</v>
      </c>
      <c r="B24" t="s">
        <v>135</v>
      </c>
      <c r="C24">
        <v>61</v>
      </c>
      <c r="D24" t="s">
        <v>278</v>
      </c>
      <c r="G24">
        <v>164880</v>
      </c>
      <c r="H24" s="46"/>
      <c r="I24" s="48">
        <v>319955.93</v>
      </c>
      <c r="K24">
        <f>Table1[[#This Row],[Total-2016]]</f>
        <v>319955.93</v>
      </c>
    </row>
    <row r="25" spans="1:11" hidden="1" x14ac:dyDescent="0.3">
      <c r="A25" t="s">
        <v>13</v>
      </c>
      <c r="B25" t="s">
        <v>135</v>
      </c>
      <c r="C25">
        <v>61</v>
      </c>
      <c r="D25" t="s">
        <v>278</v>
      </c>
      <c r="G25">
        <v>1692273</v>
      </c>
      <c r="I25" s="43">
        <v>1693511.77</v>
      </c>
      <c r="K25">
        <f>Table1[[#This Row],[Total-2016]]</f>
        <v>1693511.77</v>
      </c>
    </row>
    <row r="26" spans="1:11" s="9" customFormat="1" hidden="1" x14ac:dyDescent="0.3">
      <c r="A26" t="s">
        <v>14</v>
      </c>
      <c r="B26" t="s">
        <v>135</v>
      </c>
      <c r="C26">
        <v>61</v>
      </c>
      <c r="D26" t="s">
        <v>278</v>
      </c>
      <c r="E26"/>
      <c r="F26"/>
      <c r="G26">
        <v>956825</v>
      </c>
      <c r="H26"/>
      <c r="I26" s="43">
        <v>925904.55</v>
      </c>
      <c r="J26"/>
      <c r="K26">
        <f>Table1[[#This Row],[Total-2016]]</f>
        <v>925904.55</v>
      </c>
    </row>
    <row r="27" spans="1:11" hidden="1" x14ac:dyDescent="0.3">
      <c r="A27" t="s">
        <v>158</v>
      </c>
      <c r="B27" t="s">
        <v>158</v>
      </c>
      <c r="C27">
        <v>49</v>
      </c>
      <c r="D27" t="s">
        <v>288</v>
      </c>
      <c r="G27">
        <v>7746</v>
      </c>
      <c r="I27" s="43"/>
      <c r="K27">
        <f>Table1[[#This Row],[Total-2016]]</f>
        <v>0</v>
      </c>
    </row>
    <row r="28" spans="1:11" hidden="1" x14ac:dyDescent="0.3">
      <c r="A28" t="s">
        <v>200</v>
      </c>
      <c r="B28" t="s">
        <v>158</v>
      </c>
      <c r="C28">
        <v>49</v>
      </c>
      <c r="D28" t="s">
        <v>288</v>
      </c>
      <c r="G28">
        <v>150649</v>
      </c>
      <c r="I28" s="43"/>
      <c r="K28">
        <f>Table1[[#This Row],[Total-2016]]</f>
        <v>0</v>
      </c>
    </row>
    <row r="29" spans="1:11" hidden="1" x14ac:dyDescent="0.3">
      <c r="A29" t="s">
        <v>201</v>
      </c>
      <c r="B29" t="s">
        <v>158</v>
      </c>
      <c r="C29">
        <v>49</v>
      </c>
      <c r="D29" t="s">
        <v>288</v>
      </c>
      <c r="G29">
        <v>664748</v>
      </c>
      <c r="I29" s="43"/>
      <c r="K29">
        <f>Table1[[#This Row],[Total-2016]]</f>
        <v>0</v>
      </c>
    </row>
    <row r="30" spans="1:11" hidden="1" x14ac:dyDescent="0.3">
      <c r="A30" t="s">
        <v>202</v>
      </c>
      <c r="B30" t="s">
        <v>158</v>
      </c>
      <c r="C30">
        <v>49</v>
      </c>
      <c r="D30" t="s">
        <v>288</v>
      </c>
      <c r="G30">
        <v>160078</v>
      </c>
      <c r="I30" s="43"/>
      <c r="K30">
        <f>Table1[[#This Row],[Total-2016]]</f>
        <v>0</v>
      </c>
    </row>
    <row r="31" spans="1:11" hidden="1" x14ac:dyDescent="0.3">
      <c r="A31" t="s">
        <v>286</v>
      </c>
      <c r="B31" t="s">
        <v>284</v>
      </c>
      <c r="C31">
        <v>28</v>
      </c>
      <c r="D31" t="s">
        <v>285</v>
      </c>
      <c r="I31" s="43"/>
      <c r="J31" s="6"/>
      <c r="K31" s="6">
        <f>Table1[[#This Row],[Total-2016]]</f>
        <v>0</v>
      </c>
    </row>
    <row r="32" spans="1:11" hidden="1" x14ac:dyDescent="0.3">
      <c r="A32" t="s">
        <v>395</v>
      </c>
      <c r="B32" t="s">
        <v>395</v>
      </c>
      <c r="C32">
        <v>51</v>
      </c>
      <c r="D32" t="s">
        <v>278</v>
      </c>
      <c r="H32">
        <v>0</v>
      </c>
      <c r="I32" s="43"/>
      <c r="K32">
        <f>Table1[[#This Row],[Total-2016]]</f>
        <v>0</v>
      </c>
    </row>
    <row r="33" spans="1:14" x14ac:dyDescent="0.3">
      <c r="A33" t="s">
        <v>394</v>
      </c>
      <c r="B33" t="s">
        <v>394</v>
      </c>
      <c r="C33">
        <v>50</v>
      </c>
      <c r="D33" t="s">
        <v>278</v>
      </c>
      <c r="H33">
        <v>0</v>
      </c>
      <c r="I33" s="43"/>
      <c r="K33">
        <f>Table1[[#This Row],[Total-2016]]</f>
        <v>0</v>
      </c>
    </row>
    <row r="34" spans="1:14" hidden="1" x14ac:dyDescent="0.3">
      <c r="A34" t="s">
        <v>165</v>
      </c>
      <c r="B34" t="s">
        <v>153</v>
      </c>
      <c r="C34">
        <v>7</v>
      </c>
      <c r="D34" t="s">
        <v>278</v>
      </c>
      <c r="G34">
        <v>3679448</v>
      </c>
      <c r="H34">
        <v>3379999</v>
      </c>
      <c r="I34" s="43">
        <v>2960482.87</v>
      </c>
      <c r="K34">
        <f>Table1[[#This Row],[Total-2016]]</f>
        <v>2960482.87</v>
      </c>
    </row>
    <row r="35" spans="1:14" hidden="1" x14ac:dyDescent="0.3">
      <c r="A35" t="s">
        <v>166</v>
      </c>
      <c r="B35" t="s">
        <v>153</v>
      </c>
      <c r="C35">
        <v>7</v>
      </c>
      <c r="D35" t="s">
        <v>278</v>
      </c>
      <c r="G35">
        <v>223694</v>
      </c>
      <c r="H35">
        <v>829340</v>
      </c>
      <c r="I35" s="43">
        <v>202416.86</v>
      </c>
      <c r="K35">
        <f>Table1[[#This Row],[Total-2016]]</f>
        <v>202416.86</v>
      </c>
    </row>
    <row r="36" spans="1:14" hidden="1" x14ac:dyDescent="0.3">
      <c r="A36" t="s">
        <v>233</v>
      </c>
      <c r="B36" t="s">
        <v>153</v>
      </c>
      <c r="C36">
        <v>7</v>
      </c>
      <c r="D36" t="s">
        <v>278</v>
      </c>
      <c r="G36">
        <v>0</v>
      </c>
      <c r="H36">
        <v>0</v>
      </c>
      <c r="I36" s="43"/>
      <c r="K36">
        <f>Table1[[#This Row],[Total-2016]]</f>
        <v>0</v>
      </c>
    </row>
    <row r="37" spans="1:14" hidden="1" x14ac:dyDescent="0.3">
      <c r="A37" t="s">
        <v>167</v>
      </c>
      <c r="B37" t="s">
        <v>153</v>
      </c>
      <c r="C37">
        <v>7</v>
      </c>
      <c r="D37" t="s">
        <v>278</v>
      </c>
      <c r="G37">
        <v>370966</v>
      </c>
      <c r="H37">
        <v>292337</v>
      </c>
      <c r="I37" s="43">
        <v>379146.67</v>
      </c>
      <c r="K37">
        <f>Table1[[#This Row],[Total-2016]]</f>
        <v>379146.67</v>
      </c>
    </row>
    <row r="38" spans="1:14" hidden="1" x14ac:dyDescent="0.3">
      <c r="A38" t="s">
        <v>168</v>
      </c>
      <c r="B38" t="s">
        <v>153</v>
      </c>
      <c r="C38">
        <v>7</v>
      </c>
      <c r="D38" t="s">
        <v>278</v>
      </c>
      <c r="G38">
        <v>175050</v>
      </c>
      <c r="H38">
        <v>150609</v>
      </c>
      <c r="I38" s="43">
        <v>162353.34</v>
      </c>
      <c r="K38">
        <f>Table1[[#This Row],[Total-2016]]</f>
        <v>162353.34</v>
      </c>
    </row>
    <row r="39" spans="1:14" hidden="1" x14ac:dyDescent="0.3">
      <c r="A39" t="s">
        <v>169</v>
      </c>
      <c r="B39" t="s">
        <v>153</v>
      </c>
      <c r="C39">
        <v>7</v>
      </c>
      <c r="D39" t="s">
        <v>278</v>
      </c>
      <c r="G39">
        <v>8074781</v>
      </c>
      <c r="H39">
        <v>7629648</v>
      </c>
      <c r="I39" s="43">
        <v>7049398.5099999998</v>
      </c>
      <c r="K39">
        <f>Table1[[#This Row],[Total-2016]]</f>
        <v>7049398.5099999998</v>
      </c>
    </row>
    <row r="40" spans="1:14" hidden="1" x14ac:dyDescent="0.3">
      <c r="A40" t="s">
        <v>170</v>
      </c>
      <c r="B40" t="s">
        <v>153</v>
      </c>
      <c r="C40">
        <v>7</v>
      </c>
      <c r="D40" t="s">
        <v>278</v>
      </c>
      <c r="G40">
        <v>1014312</v>
      </c>
      <c r="H40">
        <v>2065111</v>
      </c>
      <c r="I40" s="43">
        <v>1013516.82</v>
      </c>
      <c r="K40">
        <f>Table1[[#This Row],[Total-2016]]</f>
        <v>1013516.82</v>
      </c>
    </row>
    <row r="41" spans="1:14" hidden="1" x14ac:dyDescent="0.3">
      <c r="A41" t="s">
        <v>261</v>
      </c>
      <c r="B41" t="s">
        <v>140</v>
      </c>
      <c r="C41">
        <v>58</v>
      </c>
      <c r="D41" t="s">
        <v>278</v>
      </c>
      <c r="G41">
        <v>0</v>
      </c>
      <c r="H41">
        <v>0</v>
      </c>
      <c r="I41" s="43"/>
    </row>
    <row r="42" spans="1:14" hidden="1" x14ac:dyDescent="0.3">
      <c r="A42" t="s">
        <v>57</v>
      </c>
      <c r="B42" t="s">
        <v>140</v>
      </c>
      <c r="C42">
        <v>58</v>
      </c>
      <c r="D42" t="s">
        <v>278</v>
      </c>
      <c r="G42">
        <v>67614</v>
      </c>
      <c r="H42" s="9">
        <v>57708</v>
      </c>
      <c r="I42" s="44">
        <v>65151.31</v>
      </c>
      <c r="K42">
        <f>Table1[[#This Row],[Total-2016]]</f>
        <v>65151.31</v>
      </c>
    </row>
    <row r="43" spans="1:14" hidden="1" x14ac:dyDescent="0.3">
      <c r="A43" t="s">
        <v>25</v>
      </c>
      <c r="B43" t="s">
        <v>140</v>
      </c>
      <c r="C43">
        <v>58</v>
      </c>
      <c r="D43" t="s">
        <v>278</v>
      </c>
      <c r="G43">
        <v>6038139</v>
      </c>
      <c r="H43">
        <v>7667093</v>
      </c>
      <c r="I43" s="43">
        <v>5799807.2699999996</v>
      </c>
      <c r="K43">
        <f>Table1[[#This Row],[Total-2016]]</f>
        <v>5799807.2699999996</v>
      </c>
    </row>
    <row r="44" spans="1:14" hidden="1" x14ac:dyDescent="0.3">
      <c r="A44" t="s">
        <v>26</v>
      </c>
      <c r="B44" t="s">
        <v>140</v>
      </c>
      <c r="C44">
        <v>58</v>
      </c>
      <c r="D44" t="s">
        <v>278</v>
      </c>
      <c r="G44">
        <v>1009294</v>
      </c>
      <c r="H44" t="s">
        <v>4</v>
      </c>
      <c r="I44" s="43">
        <v>1389632.65</v>
      </c>
      <c r="K44">
        <f>Table1[[#This Row],[Total-2016]]</f>
        <v>1389632.65</v>
      </c>
    </row>
    <row r="45" spans="1:14" hidden="1" x14ac:dyDescent="0.3">
      <c r="A45" t="s">
        <v>146</v>
      </c>
      <c r="B45" t="s">
        <v>140</v>
      </c>
      <c r="C45">
        <v>58</v>
      </c>
      <c r="D45" t="s">
        <v>278</v>
      </c>
      <c r="G45">
        <v>210633</v>
      </c>
      <c r="H45">
        <v>174023</v>
      </c>
      <c r="I45" s="43">
        <v>156361.03</v>
      </c>
      <c r="K45">
        <f>Table1[[#This Row],[Total-2016]]</f>
        <v>156361.03</v>
      </c>
    </row>
    <row r="46" spans="1:14" hidden="1" x14ac:dyDescent="0.3">
      <c r="A46" t="s">
        <v>144</v>
      </c>
      <c r="B46" t="s">
        <v>140</v>
      </c>
      <c r="C46">
        <v>58</v>
      </c>
      <c r="D46" t="s">
        <v>278</v>
      </c>
      <c r="G46">
        <v>2103970</v>
      </c>
      <c r="H46">
        <v>2346039</v>
      </c>
      <c r="I46" s="43">
        <v>2223971.27</v>
      </c>
      <c r="K46">
        <f>Table1[[#This Row],[Total-2016]]</f>
        <v>2223971.27</v>
      </c>
    </row>
    <row r="47" spans="1:14" hidden="1" x14ac:dyDescent="0.3">
      <c r="A47" t="s">
        <v>243</v>
      </c>
      <c r="B47" t="s">
        <v>151</v>
      </c>
      <c r="C47">
        <v>12</v>
      </c>
      <c r="D47" t="s">
        <v>278</v>
      </c>
      <c r="G47">
        <v>135811</v>
      </c>
      <c r="H47">
        <v>83117</v>
      </c>
      <c r="I47">
        <v>80529.56</v>
      </c>
      <c r="K47">
        <f>Table1[[#This Row],[Total-2016]]</f>
        <v>80529.56</v>
      </c>
    </row>
    <row r="48" spans="1:14" hidden="1" x14ac:dyDescent="0.3">
      <c r="A48" t="s">
        <v>244</v>
      </c>
      <c r="B48" t="s">
        <v>151</v>
      </c>
      <c r="C48">
        <v>12</v>
      </c>
      <c r="D48" t="s">
        <v>278</v>
      </c>
      <c r="G48">
        <v>4303</v>
      </c>
      <c r="H48">
        <v>0</v>
      </c>
      <c r="I48" s="43" t="s">
        <v>4</v>
      </c>
      <c r="K48" t="str">
        <f>Table1[[#This Row],[Total-2016]]</f>
        <v>-</v>
      </c>
      <c r="N48">
        <v>397619</v>
      </c>
    </row>
    <row r="49" spans="1:14" hidden="1" x14ac:dyDescent="0.3">
      <c r="A49" t="s">
        <v>224</v>
      </c>
      <c r="B49" t="s">
        <v>151</v>
      </c>
      <c r="C49">
        <v>12</v>
      </c>
      <c r="D49" t="s">
        <v>278</v>
      </c>
      <c r="G49">
        <v>9473766</v>
      </c>
      <c r="H49">
        <v>8472472</v>
      </c>
      <c r="I49" s="43">
        <v>9768425.2699999996</v>
      </c>
      <c r="K49">
        <f>Table1[[#This Row],[Total-2016]]</f>
        <v>9768425.2699999996</v>
      </c>
    </row>
    <row r="50" spans="1:14" hidden="1" x14ac:dyDescent="0.3">
      <c r="A50" t="s">
        <v>42</v>
      </c>
      <c r="B50" t="s">
        <v>151</v>
      </c>
      <c r="C50">
        <v>12</v>
      </c>
      <c r="D50" t="s">
        <v>278</v>
      </c>
      <c r="G50">
        <v>3076652</v>
      </c>
      <c r="H50">
        <v>2451017</v>
      </c>
      <c r="I50" s="43">
        <v>4224841.9400000004</v>
      </c>
      <c r="K50">
        <f>Table1[[#This Row],[Total-2016]]</f>
        <v>4224841.9400000004</v>
      </c>
      <c r="N50">
        <f>1165342.97+442637.01+344414.76</f>
        <v>1952394.74</v>
      </c>
    </row>
    <row r="51" spans="1:14" hidden="1" x14ac:dyDescent="0.3">
      <c r="A51" t="s">
        <v>245</v>
      </c>
      <c r="B51" t="s">
        <v>151</v>
      </c>
      <c r="C51">
        <v>12</v>
      </c>
      <c r="D51" t="s">
        <v>278</v>
      </c>
      <c r="G51">
        <v>36622</v>
      </c>
      <c r="H51">
        <v>20646</v>
      </c>
      <c r="I51" s="43">
        <v>63604.32</v>
      </c>
      <c r="K51">
        <f>Table1[[#This Row],[Total-2016]]</f>
        <v>63604.32</v>
      </c>
    </row>
    <row r="52" spans="1:14" hidden="1" x14ac:dyDescent="0.3">
      <c r="A52" t="s">
        <v>246</v>
      </c>
      <c r="B52" t="s">
        <v>151</v>
      </c>
      <c r="C52">
        <v>12</v>
      </c>
      <c r="D52" t="s">
        <v>278</v>
      </c>
      <c r="G52">
        <v>254769</v>
      </c>
      <c r="H52">
        <v>197831</v>
      </c>
      <c r="I52" s="43">
        <v>229046.13</v>
      </c>
      <c r="K52">
        <f>Table1[[#This Row],[Total-2016]]</f>
        <v>229046.13</v>
      </c>
    </row>
    <row r="53" spans="1:14" hidden="1" x14ac:dyDescent="0.3">
      <c r="A53" t="s">
        <v>247</v>
      </c>
      <c r="B53" t="s">
        <v>151</v>
      </c>
      <c r="C53">
        <v>12</v>
      </c>
      <c r="D53" t="s">
        <v>278</v>
      </c>
      <c r="G53">
        <v>37030</v>
      </c>
      <c r="H53">
        <v>27181</v>
      </c>
      <c r="I53" s="43">
        <v>33342.78</v>
      </c>
      <c r="K53">
        <f>Table1[[#This Row],[Total-2016]]</f>
        <v>33342.78</v>
      </c>
    </row>
    <row r="54" spans="1:14" hidden="1" x14ac:dyDescent="0.3">
      <c r="A54" t="s">
        <v>275</v>
      </c>
      <c r="B54" t="s">
        <v>274</v>
      </c>
      <c r="C54">
        <v>54</v>
      </c>
      <c r="D54" t="s">
        <v>290</v>
      </c>
      <c r="G54">
        <v>576112</v>
      </c>
      <c r="I54" s="43"/>
      <c r="K54">
        <f>Table1[[#This Row],[Total-2016]]</f>
        <v>0</v>
      </c>
    </row>
    <row r="55" spans="1:14" hidden="1" x14ac:dyDescent="0.3">
      <c r="A55" t="s">
        <v>276</v>
      </c>
      <c r="B55" t="s">
        <v>274</v>
      </c>
      <c r="C55">
        <v>54</v>
      </c>
      <c r="D55" t="s">
        <v>290</v>
      </c>
      <c r="G55">
        <v>326165</v>
      </c>
      <c r="I55" s="43"/>
      <c r="K55">
        <f>Table1[[#This Row],[Total-2016]]</f>
        <v>0</v>
      </c>
    </row>
    <row r="56" spans="1:14" hidden="1" x14ac:dyDescent="0.3">
      <c r="A56" t="s">
        <v>226</v>
      </c>
      <c r="B56" t="s">
        <v>229</v>
      </c>
      <c r="C56">
        <v>2</v>
      </c>
      <c r="D56" t="s">
        <v>279</v>
      </c>
      <c r="G56">
        <v>143485</v>
      </c>
      <c r="H56" s="6"/>
      <c r="I56" s="42"/>
      <c r="K56">
        <f>Table1[[#This Row],[Total-2016]]</f>
        <v>0</v>
      </c>
    </row>
    <row r="57" spans="1:14" hidden="1" x14ac:dyDescent="0.3">
      <c r="A57" t="s">
        <v>227</v>
      </c>
      <c r="B57" t="s">
        <v>229</v>
      </c>
      <c r="C57">
        <v>2</v>
      </c>
      <c r="D57" t="s">
        <v>279</v>
      </c>
      <c r="G57">
        <v>154901</v>
      </c>
      <c r="H57" s="6"/>
      <c r="I57" s="42"/>
      <c r="K57">
        <f>Table1[[#This Row],[Total-2016]]</f>
        <v>0</v>
      </c>
    </row>
    <row r="58" spans="1:14" hidden="1" x14ac:dyDescent="0.3">
      <c r="A58" t="s">
        <v>228</v>
      </c>
      <c r="B58" t="s">
        <v>229</v>
      </c>
      <c r="C58">
        <v>2</v>
      </c>
      <c r="D58" t="s">
        <v>279</v>
      </c>
      <c r="G58">
        <v>109685</v>
      </c>
      <c r="H58" s="6"/>
      <c r="I58" s="42"/>
      <c r="K58">
        <f>Table1[[#This Row],[Total-2016]]</f>
        <v>0</v>
      </c>
    </row>
    <row r="59" spans="1:14" hidden="1" x14ac:dyDescent="0.3">
      <c r="A59" t="s">
        <v>312</v>
      </c>
      <c r="B59" t="s">
        <v>197</v>
      </c>
      <c r="C59">
        <v>17</v>
      </c>
      <c r="D59" t="s">
        <v>282</v>
      </c>
      <c r="G59">
        <v>22642</v>
      </c>
      <c r="I59" s="43"/>
      <c r="K59">
        <f>Table1[[#This Row],[Total-2016]]</f>
        <v>0</v>
      </c>
    </row>
    <row r="60" spans="1:14" hidden="1" x14ac:dyDescent="0.3">
      <c r="A60" t="s">
        <v>197</v>
      </c>
      <c r="B60" t="s">
        <v>197</v>
      </c>
      <c r="C60">
        <v>17</v>
      </c>
      <c r="D60" t="s">
        <v>282</v>
      </c>
      <c r="G60">
        <v>1517412</v>
      </c>
      <c r="I60" s="43"/>
      <c r="K60">
        <f>Table1[[#This Row],[Total-2016]]</f>
        <v>0</v>
      </c>
    </row>
    <row r="61" spans="1:14" hidden="1" x14ac:dyDescent="0.3">
      <c r="A61" t="s">
        <v>198</v>
      </c>
      <c r="B61" t="s">
        <v>197</v>
      </c>
      <c r="C61">
        <v>17</v>
      </c>
      <c r="D61" t="s">
        <v>282</v>
      </c>
      <c r="G61">
        <v>270849</v>
      </c>
      <c r="I61" s="43"/>
      <c r="K61">
        <f>Table1[[#This Row],[Total-2016]]</f>
        <v>0</v>
      </c>
    </row>
    <row r="62" spans="1:14" hidden="1" x14ac:dyDescent="0.3">
      <c r="A62" s="9" t="s">
        <v>268</v>
      </c>
      <c r="B62" s="9" t="s">
        <v>197</v>
      </c>
      <c r="C62" s="9">
        <v>17</v>
      </c>
      <c r="D62" s="9" t="s">
        <v>282</v>
      </c>
      <c r="E62" s="9"/>
      <c r="F62" s="9"/>
      <c r="G62" s="9" t="s">
        <v>4</v>
      </c>
      <c r="I62" s="43"/>
      <c r="J62" s="9"/>
      <c r="K62" s="9">
        <f>Table1[[#This Row],[Total-2016]]</f>
        <v>0</v>
      </c>
    </row>
    <row r="63" spans="1:14" hidden="1" x14ac:dyDescent="0.3">
      <c r="A63" t="s">
        <v>269</v>
      </c>
      <c r="B63" t="s">
        <v>197</v>
      </c>
      <c r="C63">
        <v>17</v>
      </c>
      <c r="D63" t="s">
        <v>282</v>
      </c>
      <c r="G63">
        <v>735546</v>
      </c>
      <c r="I63" s="43"/>
      <c r="K63">
        <f>Table1[[#This Row],[Total-2016]]</f>
        <v>0</v>
      </c>
    </row>
    <row r="64" spans="1:14" hidden="1" x14ac:dyDescent="0.3">
      <c r="A64" t="s">
        <v>248</v>
      </c>
      <c r="B64" t="s">
        <v>150</v>
      </c>
      <c r="C64">
        <v>15</v>
      </c>
      <c r="D64" t="s">
        <v>278</v>
      </c>
      <c r="G64">
        <v>0</v>
      </c>
      <c r="H64">
        <v>0</v>
      </c>
      <c r="I64" s="43"/>
      <c r="K64">
        <f>Table1[[#This Row],[Total-2016]]</f>
        <v>0</v>
      </c>
    </row>
    <row r="65" spans="1:11" hidden="1" x14ac:dyDescent="0.3">
      <c r="A65" t="s">
        <v>242</v>
      </c>
      <c r="B65" t="s">
        <v>150</v>
      </c>
      <c r="C65">
        <v>15</v>
      </c>
      <c r="D65" t="s">
        <v>278</v>
      </c>
      <c r="G65">
        <v>2878515</v>
      </c>
      <c r="H65" s="49">
        <v>2487811</v>
      </c>
      <c r="I65" s="49">
        <v>1952395</v>
      </c>
      <c r="K65">
        <f>Table1[[#This Row],[Total-2016]]</f>
        <v>1952395</v>
      </c>
    </row>
    <row r="66" spans="1:11" hidden="1" x14ac:dyDescent="0.3">
      <c r="A66" t="s">
        <v>150</v>
      </c>
      <c r="B66" t="s">
        <v>150</v>
      </c>
      <c r="C66">
        <v>15</v>
      </c>
      <c r="D66" t="s">
        <v>278</v>
      </c>
      <c r="G66">
        <v>1353505</v>
      </c>
      <c r="H66">
        <v>1488706</v>
      </c>
      <c r="I66" s="43">
        <v>1469047.03</v>
      </c>
      <c r="J66" s="9"/>
      <c r="K66" s="9">
        <f>Table1[[#This Row],[Total-2016]]</f>
        <v>1469047.03</v>
      </c>
    </row>
    <row r="67" spans="1:11" hidden="1" x14ac:dyDescent="0.3">
      <c r="A67" t="s">
        <v>164</v>
      </c>
      <c r="B67" t="s">
        <v>150</v>
      </c>
      <c r="C67">
        <v>15</v>
      </c>
      <c r="D67" t="s">
        <v>278</v>
      </c>
      <c r="G67">
        <v>2241965</v>
      </c>
      <c r="H67">
        <v>1635376</v>
      </c>
      <c r="I67" s="43">
        <v>2077182.1</v>
      </c>
      <c r="K67">
        <f>Table1[[#This Row],[Total-2016]]</f>
        <v>2077182.1</v>
      </c>
    </row>
    <row r="68" spans="1:11" hidden="1" x14ac:dyDescent="0.3">
      <c r="A68" t="s">
        <v>241</v>
      </c>
      <c r="B68" t="s">
        <v>150</v>
      </c>
      <c r="C68">
        <v>15</v>
      </c>
      <c r="D68" t="s">
        <v>278</v>
      </c>
      <c r="G68">
        <v>1632727</v>
      </c>
      <c r="H68">
        <v>2507797</v>
      </c>
      <c r="I68" s="43">
        <v>1515301.64</v>
      </c>
      <c r="K68">
        <f>Table1[[#This Row],[Total-2016]]</f>
        <v>1515301.64</v>
      </c>
    </row>
    <row r="69" spans="1:11" s="9" customFormat="1" hidden="1" x14ac:dyDescent="0.3">
      <c r="A69" t="s">
        <v>163</v>
      </c>
      <c r="B69" t="s">
        <v>150</v>
      </c>
      <c r="C69">
        <v>15</v>
      </c>
      <c r="D69" t="s">
        <v>278</v>
      </c>
      <c r="E69"/>
      <c r="F69"/>
      <c r="G69">
        <v>1641115</v>
      </c>
      <c r="H69">
        <v>1305723</v>
      </c>
      <c r="I69" s="43">
        <v>1530037.83</v>
      </c>
      <c r="J69"/>
      <c r="K69">
        <f>Table1[[#This Row],[Total-2016]]</f>
        <v>1530037.83</v>
      </c>
    </row>
    <row r="70" spans="1:11" hidden="1" x14ac:dyDescent="0.3">
      <c r="A70" t="s">
        <v>253</v>
      </c>
      <c r="B70" t="s">
        <v>150</v>
      </c>
      <c r="C70">
        <v>15</v>
      </c>
      <c r="D70" t="s">
        <v>278</v>
      </c>
      <c r="G70">
        <v>315878</v>
      </c>
      <c r="H70">
        <v>255202</v>
      </c>
      <c r="I70" s="43">
        <v>307922.77</v>
      </c>
      <c r="K70">
        <f>Table1[[#This Row],[Total-2016]]</f>
        <v>307922.77</v>
      </c>
    </row>
    <row r="71" spans="1:11" hidden="1" x14ac:dyDescent="0.3">
      <c r="A71" t="s">
        <v>254</v>
      </c>
      <c r="B71" t="s">
        <v>150</v>
      </c>
      <c r="C71">
        <v>15</v>
      </c>
      <c r="D71" t="s">
        <v>278</v>
      </c>
      <c r="G71">
        <v>596860</v>
      </c>
      <c r="H71">
        <v>897119</v>
      </c>
      <c r="I71" s="43">
        <v>519709.09</v>
      </c>
      <c r="K71">
        <f>Table1[[#This Row],[Total-2016]]</f>
        <v>519709.09</v>
      </c>
    </row>
    <row r="72" spans="1:11" hidden="1" x14ac:dyDescent="0.3">
      <c r="A72" t="s">
        <v>255</v>
      </c>
      <c r="B72" t="s">
        <v>150</v>
      </c>
      <c r="C72">
        <v>15</v>
      </c>
      <c r="D72" t="s">
        <v>278</v>
      </c>
      <c r="G72">
        <v>2956</v>
      </c>
      <c r="H72">
        <v>0</v>
      </c>
      <c r="I72" s="43" t="s">
        <v>4</v>
      </c>
      <c r="K72" t="str">
        <f>Table1[[#This Row],[Total-2016]]</f>
        <v>-</v>
      </c>
    </row>
    <row r="73" spans="1:11" hidden="1" x14ac:dyDescent="0.3">
      <c r="A73" t="s">
        <v>256</v>
      </c>
      <c r="B73" t="s">
        <v>150</v>
      </c>
      <c r="C73">
        <v>15</v>
      </c>
      <c r="D73" t="s">
        <v>278</v>
      </c>
      <c r="G73">
        <v>43191</v>
      </c>
      <c r="H73">
        <v>35267</v>
      </c>
      <c r="I73" s="43">
        <v>42663.25</v>
      </c>
      <c r="K73">
        <f>Table1[[#This Row],[Total-2016]]</f>
        <v>42663.25</v>
      </c>
    </row>
    <row r="74" spans="1:11" hidden="1" x14ac:dyDescent="0.3">
      <c r="A74" t="s">
        <v>257</v>
      </c>
      <c r="B74" t="s">
        <v>150</v>
      </c>
      <c r="C74">
        <v>15</v>
      </c>
      <c r="D74" t="s">
        <v>278</v>
      </c>
      <c r="G74">
        <v>181513</v>
      </c>
      <c r="H74">
        <v>155207</v>
      </c>
      <c r="I74" s="43">
        <v>152143.07</v>
      </c>
      <c r="K74">
        <f>Table1[[#This Row],[Total-2016]]</f>
        <v>152143.07</v>
      </c>
    </row>
    <row r="75" spans="1:11" hidden="1" x14ac:dyDescent="0.3">
      <c r="A75" t="s">
        <v>186</v>
      </c>
      <c r="B75" t="s">
        <v>190</v>
      </c>
      <c r="C75">
        <v>16</v>
      </c>
      <c r="D75" t="s">
        <v>283</v>
      </c>
      <c r="G75">
        <v>1358622</v>
      </c>
      <c r="I75" s="43"/>
      <c r="K75">
        <f>Table1[[#This Row],[Total-2016]]</f>
        <v>0</v>
      </c>
    </row>
    <row r="76" spans="1:11" hidden="1" x14ac:dyDescent="0.3">
      <c r="A76" t="s">
        <v>208</v>
      </c>
      <c r="B76" t="s">
        <v>190</v>
      </c>
      <c r="C76">
        <v>16</v>
      </c>
      <c r="D76" t="s">
        <v>283</v>
      </c>
      <c r="G76">
        <v>819245</v>
      </c>
      <c r="I76" s="43"/>
      <c r="K76">
        <f>Table1[[#This Row],[Total-2016]]</f>
        <v>0</v>
      </c>
    </row>
    <row r="77" spans="1:11" hidden="1" x14ac:dyDescent="0.3">
      <c r="A77" t="s">
        <v>187</v>
      </c>
      <c r="B77" t="s">
        <v>190</v>
      </c>
      <c r="C77">
        <v>16</v>
      </c>
      <c r="D77" t="s">
        <v>283</v>
      </c>
      <c r="G77">
        <v>100456</v>
      </c>
      <c r="I77" s="43"/>
      <c r="K77">
        <f>Table1[[#This Row],[Total-2016]]</f>
        <v>0</v>
      </c>
    </row>
    <row r="78" spans="1:11" hidden="1" x14ac:dyDescent="0.3">
      <c r="A78" t="s">
        <v>188</v>
      </c>
      <c r="B78" t="s">
        <v>190</v>
      </c>
      <c r="C78">
        <v>16</v>
      </c>
      <c r="D78" t="s">
        <v>283</v>
      </c>
      <c r="G78">
        <v>1462609</v>
      </c>
      <c r="I78" s="43"/>
      <c r="K78">
        <f>Table1[[#This Row],[Total-2016]]</f>
        <v>0</v>
      </c>
    </row>
    <row r="79" spans="1:11" hidden="1" x14ac:dyDescent="0.3">
      <c r="A79" t="s">
        <v>189</v>
      </c>
      <c r="B79" t="s">
        <v>190</v>
      </c>
      <c r="C79">
        <v>16</v>
      </c>
      <c r="D79" t="s">
        <v>283</v>
      </c>
      <c r="G79">
        <v>1399413</v>
      </c>
      <c r="I79" s="43"/>
      <c r="K79">
        <f>Table1[[#This Row],[Total-2016]]</f>
        <v>0</v>
      </c>
    </row>
    <row r="80" spans="1:11" hidden="1" x14ac:dyDescent="0.3">
      <c r="A80" t="s">
        <v>190</v>
      </c>
      <c r="B80" t="s">
        <v>190</v>
      </c>
      <c r="C80">
        <v>16</v>
      </c>
      <c r="D80" t="s">
        <v>283</v>
      </c>
      <c r="G80">
        <v>3685530</v>
      </c>
      <c r="I80" s="43"/>
      <c r="K80">
        <f>Table1[[#This Row],[Total-2016]]</f>
        <v>0</v>
      </c>
    </row>
    <row r="81" spans="1:14" hidden="1" x14ac:dyDescent="0.3">
      <c r="A81" t="s">
        <v>230</v>
      </c>
      <c r="B81" t="s">
        <v>190</v>
      </c>
      <c r="C81">
        <v>16</v>
      </c>
      <c r="D81" t="s">
        <v>283</v>
      </c>
      <c r="G81">
        <v>98228</v>
      </c>
      <c r="I81" s="43"/>
      <c r="K81">
        <f>Table1[[#This Row],[Total-2016]]</f>
        <v>0</v>
      </c>
    </row>
    <row r="82" spans="1:14" hidden="1" x14ac:dyDescent="0.3">
      <c r="A82" s="9" t="s">
        <v>249</v>
      </c>
      <c r="B82" s="9" t="s">
        <v>250</v>
      </c>
      <c r="C82" s="9">
        <v>43</v>
      </c>
      <c r="D82" s="9" t="s">
        <v>278</v>
      </c>
      <c r="E82" s="9"/>
      <c r="F82" s="9"/>
      <c r="G82" s="9"/>
      <c r="I82" s="43"/>
      <c r="K82">
        <f>Table1[[#This Row],[Total-2016]]</f>
        <v>0</v>
      </c>
    </row>
    <row r="83" spans="1:14" hidden="1" x14ac:dyDescent="0.3">
      <c r="A83" s="9" t="s">
        <v>251</v>
      </c>
      <c r="B83" s="9" t="s">
        <v>250</v>
      </c>
      <c r="C83" s="9">
        <v>43</v>
      </c>
      <c r="D83" s="9" t="s">
        <v>278</v>
      </c>
      <c r="E83" s="9"/>
      <c r="F83" s="9"/>
      <c r="G83" s="9"/>
      <c r="H83" t="s">
        <v>4</v>
      </c>
      <c r="I83" s="43" t="s">
        <v>4</v>
      </c>
      <c r="K83" t="str">
        <f>Table1[[#This Row],[Total-2016]]</f>
        <v>-</v>
      </c>
    </row>
    <row r="84" spans="1:14" s="9" customFormat="1" hidden="1" x14ac:dyDescent="0.3">
      <c r="A84" s="9" t="s">
        <v>252</v>
      </c>
      <c r="B84" s="9" t="s">
        <v>250</v>
      </c>
      <c r="C84" s="9">
        <v>43</v>
      </c>
      <c r="D84" s="9" t="s">
        <v>278</v>
      </c>
      <c r="H84" s="45">
        <v>6266369</v>
      </c>
      <c r="I84" s="47">
        <v>3058743.75</v>
      </c>
      <c r="K84" s="9">
        <f>Table1[[#This Row],[Total-2016]]</f>
        <v>3058743.75</v>
      </c>
      <c r="N84" s="9">
        <v>1102115</v>
      </c>
    </row>
    <row r="85" spans="1:14" hidden="1" x14ac:dyDescent="0.3">
      <c r="A85" t="s">
        <v>286</v>
      </c>
      <c r="B85" t="s">
        <v>234</v>
      </c>
      <c r="C85">
        <v>3</v>
      </c>
      <c r="D85" t="s">
        <v>280</v>
      </c>
      <c r="H85" s="6"/>
      <c r="I85" s="42"/>
      <c r="K85">
        <f>Table1[[#This Row],[Total-2016]]</f>
        <v>0</v>
      </c>
    </row>
    <row r="86" spans="1:14" ht="15.6" hidden="1" thickTop="1" thickBot="1" x14ac:dyDescent="0.35">
      <c r="A86" t="s">
        <v>52</v>
      </c>
      <c r="B86" t="s">
        <v>52</v>
      </c>
      <c r="C86">
        <v>56</v>
      </c>
      <c r="D86" t="s">
        <v>278</v>
      </c>
      <c r="G86">
        <v>1770519</v>
      </c>
      <c r="H86" s="46">
        <v>1538997</v>
      </c>
      <c r="I86" s="48">
        <v>1405832.88</v>
      </c>
      <c r="K86">
        <f>Table1[[#This Row],[Total-2016]]</f>
        <v>1405832.88</v>
      </c>
    </row>
    <row r="87" spans="1:14" hidden="1" x14ac:dyDescent="0.3">
      <c r="A87" s="9" t="s">
        <v>239</v>
      </c>
      <c r="B87" s="9" t="s">
        <v>237</v>
      </c>
      <c r="C87" s="9">
        <v>11</v>
      </c>
      <c r="D87" s="9" t="s">
        <v>278</v>
      </c>
      <c r="E87" s="9"/>
      <c r="F87" s="9"/>
      <c r="G87" s="9" t="s">
        <v>4</v>
      </c>
      <c r="I87" s="43"/>
      <c r="K87">
        <f>Table1[[#This Row],[Total-2016]]</f>
        <v>0</v>
      </c>
    </row>
    <row r="88" spans="1:14" hidden="1" x14ac:dyDescent="0.3">
      <c r="A88" s="9" t="s">
        <v>238</v>
      </c>
      <c r="B88" s="9" t="s">
        <v>237</v>
      </c>
      <c r="C88" s="9">
        <v>11</v>
      </c>
      <c r="D88" s="9" t="s">
        <v>278</v>
      </c>
      <c r="E88" s="9"/>
      <c r="F88" s="9"/>
      <c r="G88" s="9" t="s">
        <v>4</v>
      </c>
      <c r="I88" s="43"/>
      <c r="K88">
        <f>Table1[[#This Row],[Total-2016]]</f>
        <v>0</v>
      </c>
    </row>
    <row r="89" spans="1:14" hidden="1" x14ac:dyDescent="0.3">
      <c r="A89" t="s">
        <v>266</v>
      </c>
      <c r="B89" t="s">
        <v>161</v>
      </c>
      <c r="C89">
        <v>46</v>
      </c>
      <c r="D89" t="s">
        <v>280</v>
      </c>
      <c r="G89">
        <v>3145898</v>
      </c>
      <c r="I89" s="43"/>
      <c r="K89">
        <f>Table1[[#This Row],[Total-2016]]</f>
        <v>0</v>
      </c>
    </row>
    <row r="90" spans="1:14" hidden="1" x14ac:dyDescent="0.3">
      <c r="A90" t="s">
        <v>194</v>
      </c>
      <c r="B90" t="s">
        <v>196</v>
      </c>
      <c r="C90">
        <v>14</v>
      </c>
      <c r="D90" t="s">
        <v>282</v>
      </c>
      <c r="G90">
        <v>125058</v>
      </c>
      <c r="I90" s="43"/>
      <c r="K90">
        <f>Table1[[#This Row],[Total-2016]]</f>
        <v>0</v>
      </c>
      <c r="N90">
        <v>988077</v>
      </c>
    </row>
    <row r="91" spans="1:14" hidden="1" x14ac:dyDescent="0.3">
      <c r="A91" t="s">
        <v>196</v>
      </c>
      <c r="B91" t="s">
        <v>196</v>
      </c>
      <c r="C91">
        <v>14</v>
      </c>
      <c r="D91" t="s">
        <v>282</v>
      </c>
      <c r="G91">
        <v>553537</v>
      </c>
      <c r="I91" s="43"/>
      <c r="K91">
        <f>Table1[[#This Row],[Total-2016]]</f>
        <v>0</v>
      </c>
    </row>
    <row r="92" spans="1:14" hidden="1" x14ac:dyDescent="0.3">
      <c r="A92" t="s">
        <v>313</v>
      </c>
      <c r="B92" t="s">
        <v>196</v>
      </c>
      <c r="C92">
        <v>14</v>
      </c>
      <c r="D92" t="s">
        <v>282</v>
      </c>
      <c r="G92">
        <v>35640</v>
      </c>
      <c r="I92" s="43"/>
      <c r="K92">
        <f>Table1[[#This Row],[Total-2016]]</f>
        <v>0</v>
      </c>
    </row>
    <row r="93" spans="1:14" hidden="1" x14ac:dyDescent="0.3">
      <c r="A93" s="9" t="s">
        <v>195</v>
      </c>
      <c r="B93" s="9" t="s">
        <v>196</v>
      </c>
      <c r="C93" s="9">
        <v>14</v>
      </c>
      <c r="D93" s="9" t="s">
        <v>282</v>
      </c>
      <c r="E93" s="9"/>
      <c r="F93" s="9"/>
      <c r="G93" s="9" t="s">
        <v>4</v>
      </c>
      <c r="I93" s="43"/>
      <c r="J93" s="9"/>
      <c r="K93" s="9">
        <f>Table1[[#This Row],[Total-2016]]</f>
        <v>0</v>
      </c>
    </row>
    <row r="94" spans="1:14" hidden="1" x14ac:dyDescent="0.3">
      <c r="A94" t="s">
        <v>160</v>
      </c>
      <c r="B94" t="s">
        <v>196</v>
      </c>
      <c r="C94">
        <v>14</v>
      </c>
      <c r="D94" t="s">
        <v>282</v>
      </c>
      <c r="G94">
        <v>614316</v>
      </c>
      <c r="I94" s="43"/>
      <c r="K94">
        <f>Table1[[#This Row],[Total-2016]]</f>
        <v>0</v>
      </c>
    </row>
    <row r="95" spans="1:14" hidden="1" x14ac:dyDescent="0.3">
      <c r="A95" s="9" t="s">
        <v>240</v>
      </c>
      <c r="B95" s="9" t="s">
        <v>196</v>
      </c>
      <c r="C95" s="9">
        <v>14</v>
      </c>
      <c r="D95" s="9" t="s">
        <v>282</v>
      </c>
      <c r="E95" s="9"/>
      <c r="F95" s="9"/>
      <c r="G95" s="9" t="s">
        <v>4</v>
      </c>
      <c r="I95" s="43"/>
      <c r="K95">
        <f>Table1[[#This Row],[Total-2016]]</f>
        <v>0</v>
      </c>
    </row>
    <row r="96" spans="1:14" hidden="1" x14ac:dyDescent="0.3">
      <c r="A96" t="s">
        <v>231</v>
      </c>
      <c r="B96" t="s">
        <v>148</v>
      </c>
      <c r="C96">
        <v>52</v>
      </c>
      <c r="D96" t="s">
        <v>289</v>
      </c>
      <c r="G96">
        <v>348983</v>
      </c>
      <c r="H96" s="9"/>
      <c r="I96" s="44"/>
      <c r="K96">
        <f>Table1[[#This Row],[Total-2016]]</f>
        <v>0</v>
      </c>
    </row>
    <row r="97" spans="1:14" hidden="1" x14ac:dyDescent="0.3">
      <c r="A97" t="s">
        <v>232</v>
      </c>
      <c r="B97" t="s">
        <v>148</v>
      </c>
      <c r="C97">
        <v>52</v>
      </c>
      <c r="D97" t="s">
        <v>289</v>
      </c>
      <c r="G97">
        <v>12310</v>
      </c>
      <c r="I97" s="43"/>
      <c r="K97">
        <f>Table1[[#This Row],[Total-2016]]</f>
        <v>0</v>
      </c>
    </row>
    <row r="98" spans="1:14" hidden="1" x14ac:dyDescent="0.3">
      <c r="A98" t="s">
        <v>104</v>
      </c>
      <c r="B98" t="s">
        <v>104</v>
      </c>
      <c r="C98">
        <v>1</v>
      </c>
      <c r="D98" t="s">
        <v>278</v>
      </c>
      <c r="G98">
        <v>17526</v>
      </c>
      <c r="H98">
        <v>21414</v>
      </c>
      <c r="I98" s="43">
        <v>15626.96</v>
      </c>
      <c r="K98">
        <f>Table1[[#This Row],[Total-2016]]</f>
        <v>15626.96</v>
      </c>
    </row>
    <row r="99" spans="1:14" hidden="1" x14ac:dyDescent="0.3">
      <c r="A99" t="s">
        <v>311</v>
      </c>
      <c r="B99" t="s">
        <v>205</v>
      </c>
      <c r="C99">
        <v>64</v>
      </c>
      <c r="D99" t="s">
        <v>292</v>
      </c>
      <c r="G99">
        <v>76693</v>
      </c>
      <c r="I99" s="43"/>
      <c r="K99">
        <f>Table1[[#This Row],[Total-2016]]</f>
        <v>0</v>
      </c>
    </row>
    <row r="100" spans="1:14" hidden="1" x14ac:dyDescent="0.3">
      <c r="A100" t="s">
        <v>203</v>
      </c>
      <c r="B100" t="s">
        <v>205</v>
      </c>
      <c r="C100">
        <v>64</v>
      </c>
      <c r="D100" t="s">
        <v>292</v>
      </c>
      <c r="G100">
        <v>159732</v>
      </c>
      <c r="I100" s="43"/>
      <c r="K100">
        <f>Table1[[#This Row],[Total-2016]]</f>
        <v>0</v>
      </c>
    </row>
    <row r="101" spans="1:14" hidden="1" x14ac:dyDescent="0.3">
      <c r="A101" t="s">
        <v>220</v>
      </c>
      <c r="B101" t="s">
        <v>205</v>
      </c>
      <c r="C101">
        <v>64</v>
      </c>
      <c r="D101" t="s">
        <v>292</v>
      </c>
      <c r="G101">
        <v>34475</v>
      </c>
      <c r="I101" s="43"/>
      <c r="K101">
        <f>Table1[[#This Row],[Total-2016]]</f>
        <v>0</v>
      </c>
    </row>
    <row r="102" spans="1:14" hidden="1" x14ac:dyDescent="0.3">
      <c r="A102" t="s">
        <v>267</v>
      </c>
      <c r="B102" t="s">
        <v>205</v>
      </c>
      <c r="C102">
        <v>64</v>
      </c>
      <c r="D102" t="s">
        <v>292</v>
      </c>
      <c r="G102">
        <v>155364</v>
      </c>
      <c r="I102" s="43"/>
      <c r="K102">
        <f>Table1[[#This Row],[Total-2016]]</f>
        <v>0</v>
      </c>
    </row>
    <row r="103" spans="1:14" hidden="1" x14ac:dyDescent="0.3">
      <c r="A103" t="s">
        <v>204</v>
      </c>
      <c r="B103" t="s">
        <v>205</v>
      </c>
      <c r="C103">
        <v>64</v>
      </c>
      <c r="D103" t="s">
        <v>292</v>
      </c>
      <c r="G103">
        <v>542193</v>
      </c>
      <c r="I103" s="43"/>
      <c r="K103">
        <f>Table1[[#This Row],[Total-2016]]</f>
        <v>0</v>
      </c>
    </row>
    <row r="104" spans="1:14" hidden="1" x14ac:dyDescent="0.3">
      <c r="A104" t="s">
        <v>258</v>
      </c>
      <c r="B104" t="s">
        <v>152</v>
      </c>
      <c r="C104">
        <v>18</v>
      </c>
      <c r="D104" t="s">
        <v>278</v>
      </c>
      <c r="G104">
        <v>5345250</v>
      </c>
      <c r="H104">
        <v>4932279</v>
      </c>
      <c r="I104" s="43">
        <v>3951794.02</v>
      </c>
      <c r="K104">
        <f>Table1[[#This Row],[Total-2016]]</f>
        <v>3951794.02</v>
      </c>
    </row>
    <row r="105" spans="1:14" hidden="1" x14ac:dyDescent="0.3">
      <c r="A105" t="s">
        <v>111</v>
      </c>
      <c r="B105" t="s">
        <v>152</v>
      </c>
      <c r="C105">
        <v>18</v>
      </c>
      <c r="D105" t="s">
        <v>278</v>
      </c>
      <c r="G105">
        <v>189641</v>
      </c>
      <c r="H105">
        <v>187358</v>
      </c>
      <c r="I105" s="43">
        <v>185067.19</v>
      </c>
      <c r="K105">
        <f>Table1[[#This Row],[Total-2016]]</f>
        <v>185067.19</v>
      </c>
    </row>
    <row r="106" spans="1:14" hidden="1" x14ac:dyDescent="0.3">
      <c r="A106" t="s">
        <v>91</v>
      </c>
      <c r="B106" t="s">
        <v>162</v>
      </c>
      <c r="C106">
        <v>47</v>
      </c>
      <c r="D106" t="s">
        <v>280</v>
      </c>
      <c r="G106">
        <v>35909</v>
      </c>
      <c r="I106" s="43"/>
      <c r="K106">
        <f>Table1[[#This Row],[Total-2016]]</f>
        <v>0</v>
      </c>
      <c r="N106">
        <f>SUM(N48:N90)</f>
        <v>4440205.74</v>
      </c>
    </row>
    <row r="107" spans="1:14" hidden="1" x14ac:dyDescent="0.3">
      <c r="A107" t="s">
        <v>309</v>
      </c>
      <c r="B107" t="s">
        <v>162</v>
      </c>
      <c r="C107">
        <v>47</v>
      </c>
      <c r="D107" t="s">
        <v>280</v>
      </c>
      <c r="G107">
        <v>138</v>
      </c>
      <c r="I107" s="43"/>
      <c r="K107">
        <f>Table1[[#This Row],[Total-2016]]</f>
        <v>0</v>
      </c>
    </row>
    <row r="108" spans="1:14" hidden="1" x14ac:dyDescent="0.3">
      <c r="A108" t="s">
        <v>92</v>
      </c>
      <c r="B108" t="s">
        <v>162</v>
      </c>
      <c r="C108">
        <v>47</v>
      </c>
      <c r="D108" t="s">
        <v>280</v>
      </c>
      <c r="G108">
        <v>193163</v>
      </c>
      <c r="I108" s="43"/>
      <c r="K108">
        <f>Table1[[#This Row],[Total-2016]]</f>
        <v>0</v>
      </c>
    </row>
    <row r="109" spans="1:14" hidden="1" x14ac:dyDescent="0.3">
      <c r="A109" t="s">
        <v>310</v>
      </c>
      <c r="B109" t="s">
        <v>162</v>
      </c>
      <c r="C109">
        <v>47</v>
      </c>
      <c r="D109" t="s">
        <v>280</v>
      </c>
      <c r="G109">
        <v>213611</v>
      </c>
      <c r="I109" s="43"/>
      <c r="K109">
        <f>Table1[[#This Row],[Total-2016]]</f>
        <v>0</v>
      </c>
    </row>
    <row r="110" spans="1:14" hidden="1" x14ac:dyDescent="0.3">
      <c r="A110" t="s">
        <v>90</v>
      </c>
      <c r="B110" t="s">
        <v>162</v>
      </c>
      <c r="C110">
        <v>47</v>
      </c>
      <c r="D110" t="s">
        <v>280</v>
      </c>
      <c r="G110">
        <v>1039706</v>
      </c>
      <c r="I110" s="43"/>
      <c r="K110">
        <f>Table1[[#This Row],[Total-2016]]</f>
        <v>0</v>
      </c>
    </row>
    <row r="111" spans="1:14" hidden="1" x14ac:dyDescent="0.3">
      <c r="A111" t="s">
        <v>217</v>
      </c>
      <c r="B111" t="s">
        <v>217</v>
      </c>
      <c r="C111">
        <v>65</v>
      </c>
      <c r="D111" t="s">
        <v>293</v>
      </c>
      <c r="G111">
        <v>1518122</v>
      </c>
      <c r="I111" s="43"/>
      <c r="K111">
        <f>Table1[[#This Row],[Total-2016]]</f>
        <v>0</v>
      </c>
    </row>
    <row r="112" spans="1:14" hidden="1" x14ac:dyDescent="0.3">
      <c r="A112" t="s">
        <v>218</v>
      </c>
      <c r="B112" t="s">
        <v>217</v>
      </c>
      <c r="C112">
        <v>65</v>
      </c>
      <c r="D112" t="s">
        <v>293</v>
      </c>
      <c r="G112">
        <v>139241</v>
      </c>
      <c r="I112" s="43"/>
      <c r="K112">
        <f>Table1[[#This Row],[Total-2016]]</f>
        <v>0</v>
      </c>
    </row>
    <row r="113" spans="1:11" hidden="1" x14ac:dyDescent="0.3">
      <c r="A113" t="s">
        <v>139</v>
      </c>
      <c r="B113" t="s">
        <v>139</v>
      </c>
      <c r="C113">
        <v>44</v>
      </c>
      <c r="D113" t="s">
        <v>278</v>
      </c>
      <c r="G113">
        <v>770261</v>
      </c>
      <c r="H113">
        <v>828773</v>
      </c>
      <c r="I113" s="43">
        <v>720820.21</v>
      </c>
      <c r="K113">
        <f>Table1[[#This Row],[Total-2016]]</f>
        <v>720820.21</v>
      </c>
    </row>
    <row r="114" spans="1:11" hidden="1" x14ac:dyDescent="0.3">
      <c r="A114" t="s">
        <v>173</v>
      </c>
      <c r="B114" t="s">
        <v>173</v>
      </c>
      <c r="C114">
        <v>45</v>
      </c>
      <c r="D114" t="s">
        <v>287</v>
      </c>
      <c r="G114">
        <v>288756</v>
      </c>
      <c r="I114" s="43"/>
      <c r="K114">
        <f>Table1[[#This Row],[Total-2016]]</f>
        <v>0</v>
      </c>
    </row>
    <row r="115" spans="1:11" s="9" customFormat="1" hidden="1" x14ac:dyDescent="0.3">
      <c r="A115" s="9" t="s">
        <v>286</v>
      </c>
      <c r="B115" s="9" t="s">
        <v>235</v>
      </c>
      <c r="C115" s="9">
        <v>5</v>
      </c>
      <c r="D115" s="9" t="s">
        <v>278</v>
      </c>
      <c r="H115"/>
      <c r="I115" s="43"/>
      <c r="J115" s="6"/>
      <c r="K115" s="6">
        <f>Table1[[#This Row],[Total-2016]]</f>
        <v>0</v>
      </c>
    </row>
    <row r="116" spans="1:11" hidden="1" x14ac:dyDescent="0.3">
      <c r="A116" t="s">
        <v>3</v>
      </c>
      <c r="B116" t="s">
        <v>145</v>
      </c>
      <c r="C116">
        <v>60</v>
      </c>
      <c r="D116" t="s">
        <v>428</v>
      </c>
      <c r="G116">
        <v>27029894</v>
      </c>
      <c r="I116" s="43">
        <v>26505574.030000001</v>
      </c>
      <c r="K116">
        <f>Table1[[#This Row],[Total-2016]]</f>
        <v>26505574.030000001</v>
      </c>
    </row>
    <row r="117" spans="1:11" hidden="1" x14ac:dyDescent="0.3">
      <c r="A117" t="s">
        <v>9</v>
      </c>
      <c r="B117" t="s">
        <v>397</v>
      </c>
      <c r="C117">
        <v>57</v>
      </c>
      <c r="D117" t="s">
        <v>278</v>
      </c>
      <c r="G117">
        <v>7038281</v>
      </c>
      <c r="H117" t="s">
        <v>4</v>
      </c>
      <c r="I117" s="43">
        <v>7107306.2800000003</v>
      </c>
      <c r="J117" s="6"/>
      <c r="K117" s="6">
        <f>Table1[[#This Row],[Total-2016]]</f>
        <v>7107306.2800000003</v>
      </c>
    </row>
    <row r="118" spans="1:11" hidden="1" x14ac:dyDescent="0.3">
      <c r="A118" t="s">
        <v>54</v>
      </c>
      <c r="B118" t="s">
        <v>397</v>
      </c>
      <c r="C118">
        <v>57</v>
      </c>
      <c r="D118" t="s">
        <v>278</v>
      </c>
      <c r="G118">
        <v>361632</v>
      </c>
      <c r="H118" s="45">
        <v>647321</v>
      </c>
      <c r="I118" s="47">
        <v>277851.92</v>
      </c>
      <c r="K118">
        <f>Table1[[#This Row],[Total-2016]]</f>
        <v>277851.92</v>
      </c>
    </row>
    <row r="119" spans="1:11" hidden="1" x14ac:dyDescent="0.3">
      <c r="A119" t="s">
        <v>11</v>
      </c>
      <c r="B119" t="s">
        <v>397</v>
      </c>
      <c r="C119">
        <v>57</v>
      </c>
      <c r="D119" t="s">
        <v>278</v>
      </c>
      <c r="G119">
        <v>1682785</v>
      </c>
      <c r="H119">
        <v>1357009</v>
      </c>
      <c r="I119" s="43">
        <v>1320225.1399999999</v>
      </c>
      <c r="J119" s="9"/>
      <c r="K119" s="9">
        <f>Table1[[#This Row],[Total-2016]]</f>
        <v>1320225.1399999999</v>
      </c>
    </row>
    <row r="120" spans="1:11" s="9" customFormat="1" hidden="1" x14ac:dyDescent="0.3">
      <c r="A120" t="s">
        <v>8</v>
      </c>
      <c r="B120" t="s">
        <v>397</v>
      </c>
      <c r="C120">
        <v>57</v>
      </c>
      <c r="D120" t="s">
        <v>278</v>
      </c>
      <c r="E120"/>
      <c r="F120"/>
      <c r="G120">
        <v>94187</v>
      </c>
      <c r="H120">
        <v>70800</v>
      </c>
      <c r="I120" s="43">
        <v>99924.05</v>
      </c>
      <c r="J120"/>
      <c r="K120">
        <f>Table1[[#This Row],[Total-2016]]</f>
        <v>99924.05</v>
      </c>
    </row>
    <row r="121" spans="1:11" hidden="1" x14ac:dyDescent="0.3">
      <c r="A121" t="s">
        <v>7</v>
      </c>
      <c r="B121" t="s">
        <v>397</v>
      </c>
      <c r="C121">
        <v>57</v>
      </c>
      <c r="D121" t="s">
        <v>278</v>
      </c>
      <c r="G121">
        <v>0</v>
      </c>
      <c r="H121">
        <v>0</v>
      </c>
      <c r="I121" s="43"/>
      <c r="K121">
        <f>Table1[[#This Row],[Total-2016]]</f>
        <v>0</v>
      </c>
    </row>
    <row r="122" spans="1:11" hidden="1" x14ac:dyDescent="0.3">
      <c r="A122" t="s">
        <v>305</v>
      </c>
      <c r="B122" t="s">
        <v>397</v>
      </c>
      <c r="C122">
        <v>57</v>
      </c>
      <c r="D122" t="s">
        <v>278</v>
      </c>
      <c r="G122">
        <v>0</v>
      </c>
      <c r="H122">
        <v>0</v>
      </c>
      <c r="I122" s="43"/>
      <c r="K122">
        <f>Table1[[#This Row],[Total-2016]]</f>
        <v>0</v>
      </c>
    </row>
    <row r="123" spans="1:11" hidden="1" x14ac:dyDescent="0.3">
      <c r="A123" t="s">
        <v>61</v>
      </c>
      <c r="B123" t="s">
        <v>397</v>
      </c>
      <c r="C123">
        <v>57</v>
      </c>
      <c r="D123" t="s">
        <v>278</v>
      </c>
      <c r="G123">
        <v>30326</v>
      </c>
      <c r="H123">
        <v>2495770</v>
      </c>
      <c r="I123" s="43">
        <v>17978.080000000002</v>
      </c>
      <c r="K123">
        <f>Table1[[#This Row],[Total-2016]]</f>
        <v>17978.080000000002</v>
      </c>
    </row>
    <row r="124" spans="1:11" hidden="1" x14ac:dyDescent="0.3">
      <c r="A124" t="s">
        <v>141</v>
      </c>
      <c r="B124" t="s">
        <v>397</v>
      </c>
      <c r="C124">
        <v>57</v>
      </c>
      <c r="D124" t="s">
        <v>278</v>
      </c>
      <c r="G124">
        <v>481096</v>
      </c>
      <c r="H124" t="s">
        <v>4</v>
      </c>
      <c r="I124" s="43">
        <v>359424.7</v>
      </c>
      <c r="K124">
        <f>Table1[[#This Row],[Total-2016]]</f>
        <v>359424.7</v>
      </c>
    </row>
    <row r="125" spans="1:11" hidden="1" x14ac:dyDescent="0.3">
      <c r="A125" t="s">
        <v>142</v>
      </c>
      <c r="B125" t="s">
        <v>397</v>
      </c>
      <c r="C125">
        <v>57</v>
      </c>
      <c r="D125" t="s">
        <v>278</v>
      </c>
      <c r="G125">
        <v>2735184</v>
      </c>
      <c r="H125" t="s">
        <v>4</v>
      </c>
      <c r="I125" s="43">
        <v>2336613.2599999998</v>
      </c>
      <c r="K125">
        <f>Table1[[#This Row],[Total-2016]]</f>
        <v>2336613.2599999998</v>
      </c>
    </row>
    <row r="126" spans="1:11" hidden="1" x14ac:dyDescent="0.3">
      <c r="A126" t="s">
        <v>306</v>
      </c>
      <c r="B126" t="s">
        <v>397</v>
      </c>
      <c r="C126">
        <v>57</v>
      </c>
      <c r="D126" t="s">
        <v>278</v>
      </c>
      <c r="G126">
        <v>144310</v>
      </c>
      <c r="I126" s="43">
        <v>125053.26</v>
      </c>
      <c r="J126" s="9"/>
      <c r="K126" s="9">
        <f>Table1[[#This Row],[Total-2016]]</f>
        <v>125053.26</v>
      </c>
    </row>
    <row r="127" spans="1:11" hidden="1" x14ac:dyDescent="0.3">
      <c r="A127" t="s">
        <v>29</v>
      </c>
      <c r="B127" t="s">
        <v>397</v>
      </c>
      <c r="C127">
        <v>57</v>
      </c>
      <c r="D127" t="s">
        <v>278</v>
      </c>
      <c r="G127">
        <v>135825</v>
      </c>
      <c r="H127">
        <v>122577</v>
      </c>
      <c r="I127" s="43">
        <v>123912.5</v>
      </c>
      <c r="K127">
        <f>Table1[[#This Row],[Total-2016]]</f>
        <v>123912.5</v>
      </c>
    </row>
    <row r="128" spans="1:11" hidden="1" x14ac:dyDescent="0.3">
      <c r="A128" t="s">
        <v>17</v>
      </c>
      <c r="B128" t="s">
        <v>397</v>
      </c>
      <c r="C128">
        <v>57</v>
      </c>
      <c r="D128" t="s">
        <v>278</v>
      </c>
      <c r="G128">
        <v>1268841</v>
      </c>
      <c r="H128">
        <v>1217701</v>
      </c>
      <c r="I128" s="43">
        <v>1389179.44</v>
      </c>
      <c r="K128">
        <f>Table1[[#This Row],[Total-2016]]</f>
        <v>1389179.44</v>
      </c>
    </row>
    <row r="129" spans="1:11" hidden="1" x14ac:dyDescent="0.3">
      <c r="A129" t="s">
        <v>260</v>
      </c>
      <c r="B129" t="s">
        <v>397</v>
      </c>
      <c r="C129">
        <v>57</v>
      </c>
      <c r="D129" t="s">
        <v>278</v>
      </c>
      <c r="G129">
        <v>505589</v>
      </c>
      <c r="I129" s="43">
        <v>549838.69999999995</v>
      </c>
      <c r="K129">
        <f>Table1[[#This Row],[Total-2016]]</f>
        <v>549838.69999999995</v>
      </c>
    </row>
    <row r="130" spans="1:11" hidden="1" x14ac:dyDescent="0.3">
      <c r="A130" t="s">
        <v>12</v>
      </c>
      <c r="B130" t="s">
        <v>397</v>
      </c>
      <c r="C130">
        <v>57</v>
      </c>
      <c r="D130" t="s">
        <v>278</v>
      </c>
      <c r="G130">
        <v>1118172</v>
      </c>
      <c r="H130">
        <v>1205751</v>
      </c>
      <c r="I130" s="43">
        <v>1055570.3799999999</v>
      </c>
      <c r="K130">
        <f>Table1[[#This Row],[Total-2016]]</f>
        <v>1055570.3799999999</v>
      </c>
    </row>
    <row r="131" spans="1:11" hidden="1" x14ac:dyDescent="0.3">
      <c r="A131" t="s">
        <v>307</v>
      </c>
      <c r="B131" t="s">
        <v>397</v>
      </c>
      <c r="C131">
        <v>57</v>
      </c>
      <c r="D131" t="s">
        <v>278</v>
      </c>
      <c r="G131">
        <v>72239</v>
      </c>
      <c r="I131" s="43">
        <v>131273.28</v>
      </c>
      <c r="J131" s="9"/>
      <c r="K131" s="9">
        <f>Table1[[#This Row],[Total-2016]]</f>
        <v>131273.28</v>
      </c>
    </row>
    <row r="132" spans="1:11" hidden="1" x14ac:dyDescent="0.3">
      <c r="A132" t="s">
        <v>22</v>
      </c>
      <c r="B132" t="s">
        <v>397</v>
      </c>
      <c r="C132">
        <v>57</v>
      </c>
      <c r="D132" t="s">
        <v>278</v>
      </c>
      <c r="G132">
        <v>351347</v>
      </c>
      <c r="I132" s="43">
        <v>320214.87</v>
      </c>
      <c r="J132" s="9"/>
      <c r="K132" s="9">
        <f>Table1[[#This Row],[Total-2016]]</f>
        <v>320214.87</v>
      </c>
    </row>
    <row r="133" spans="1:11" hidden="1" x14ac:dyDescent="0.3">
      <c r="A133" t="s">
        <v>21</v>
      </c>
      <c r="B133" t="s">
        <v>397</v>
      </c>
      <c r="C133">
        <v>57</v>
      </c>
      <c r="D133" t="s">
        <v>278</v>
      </c>
      <c r="G133">
        <v>2241956</v>
      </c>
      <c r="I133" s="43">
        <v>1766219.36</v>
      </c>
      <c r="K133">
        <f>Table1[[#This Row],[Total-2016]]</f>
        <v>1766219.36</v>
      </c>
    </row>
    <row r="134" spans="1:11" hidden="1" x14ac:dyDescent="0.3">
      <c r="A134" t="s">
        <v>308</v>
      </c>
      <c r="B134" t="s">
        <v>397</v>
      </c>
      <c r="C134">
        <v>57</v>
      </c>
      <c r="D134" t="s">
        <v>278</v>
      </c>
      <c r="G134">
        <v>39225</v>
      </c>
      <c r="I134" s="43">
        <v>41911.160000000003</v>
      </c>
      <c r="K134">
        <f>Table1[[#This Row],[Total-2016]]</f>
        <v>41911.160000000003</v>
      </c>
    </row>
    <row r="135" spans="1:11" hidden="1" x14ac:dyDescent="0.3">
      <c r="A135" t="s">
        <v>19</v>
      </c>
      <c r="B135" t="s">
        <v>397</v>
      </c>
      <c r="C135">
        <v>57</v>
      </c>
      <c r="D135" t="s">
        <v>278</v>
      </c>
      <c r="G135">
        <v>512268</v>
      </c>
      <c r="I135" s="43">
        <v>433963.54</v>
      </c>
      <c r="K135">
        <f>Table1[[#This Row],[Total-2016]]</f>
        <v>433963.54</v>
      </c>
    </row>
    <row r="136" spans="1:11" hidden="1" x14ac:dyDescent="0.3">
      <c r="A136" t="s">
        <v>5</v>
      </c>
      <c r="B136" t="s">
        <v>397</v>
      </c>
      <c r="C136">
        <v>57</v>
      </c>
      <c r="D136" t="s">
        <v>278</v>
      </c>
      <c r="G136">
        <v>20300718</v>
      </c>
      <c r="H136">
        <v>26615091</v>
      </c>
      <c r="I136" s="43">
        <v>22760220.739999998</v>
      </c>
      <c r="K136">
        <f>Table1[[#This Row],[Total-2016]]</f>
        <v>22760220.739999998</v>
      </c>
    </row>
    <row r="137" spans="1:11" hidden="1" x14ac:dyDescent="0.3">
      <c r="A137" t="s">
        <v>20</v>
      </c>
      <c r="B137" t="s">
        <v>397</v>
      </c>
      <c r="C137">
        <v>57</v>
      </c>
      <c r="D137" t="s">
        <v>278</v>
      </c>
      <c r="G137">
        <v>789891</v>
      </c>
      <c r="I137" s="43">
        <v>948343.72</v>
      </c>
      <c r="K137">
        <f>Table1[[#This Row],[Total-2016]]</f>
        <v>948343.72</v>
      </c>
    </row>
    <row r="138" spans="1:11" hidden="1" x14ac:dyDescent="0.3">
      <c r="A138" t="s">
        <v>30</v>
      </c>
      <c r="B138" t="s">
        <v>397</v>
      </c>
      <c r="C138">
        <v>57</v>
      </c>
      <c r="D138" t="s">
        <v>278</v>
      </c>
      <c r="G138">
        <v>956867</v>
      </c>
      <c r="H138">
        <v>1640502</v>
      </c>
      <c r="I138" s="43">
        <v>1079677.05</v>
      </c>
      <c r="K138">
        <f>Table1[[#This Row],[Total-2016]]</f>
        <v>1079677.05</v>
      </c>
    </row>
    <row r="139" spans="1:11" hidden="1" x14ac:dyDescent="0.3">
      <c r="A139" t="s">
        <v>23</v>
      </c>
      <c r="B139" t="s">
        <v>397</v>
      </c>
      <c r="C139">
        <v>57</v>
      </c>
      <c r="D139" t="s">
        <v>278</v>
      </c>
      <c r="G139">
        <v>314623</v>
      </c>
      <c r="H139" t="s">
        <v>4</v>
      </c>
      <c r="I139" s="43">
        <v>396748</v>
      </c>
      <c r="K139">
        <f>Table1[[#This Row],[Total-2016]]</f>
        <v>396748</v>
      </c>
    </row>
    <row r="140" spans="1:11" hidden="1" x14ac:dyDescent="0.3">
      <c r="A140" t="s">
        <v>225</v>
      </c>
      <c r="B140" t="s">
        <v>225</v>
      </c>
      <c r="C140">
        <v>53</v>
      </c>
      <c r="D140" t="s">
        <v>320</v>
      </c>
      <c r="G140">
        <v>2161458</v>
      </c>
      <c r="I140" s="43"/>
      <c r="K140">
        <f>Table1[[#This Row],[Total-2016]]</f>
        <v>0</v>
      </c>
    </row>
    <row r="141" spans="1:11" hidden="1" x14ac:dyDescent="0.3">
      <c r="A141" t="s">
        <v>179</v>
      </c>
      <c r="B141" t="s">
        <v>174</v>
      </c>
      <c r="C141">
        <v>62</v>
      </c>
      <c r="D141" t="s">
        <v>291</v>
      </c>
      <c r="G141">
        <v>931824</v>
      </c>
      <c r="I141" s="43"/>
      <c r="J141" s="6"/>
      <c r="K141" s="6">
        <f>Table1[[#This Row],[Total-2016]]</f>
        <v>0</v>
      </c>
    </row>
    <row r="142" spans="1:11" hidden="1" x14ac:dyDescent="0.3">
      <c r="A142" t="s">
        <v>314</v>
      </c>
      <c r="B142" t="s">
        <v>174</v>
      </c>
      <c r="C142">
        <v>62</v>
      </c>
      <c r="D142" t="s">
        <v>291</v>
      </c>
      <c r="G142">
        <v>0</v>
      </c>
      <c r="I142" s="43"/>
      <c r="K142">
        <f>Table1[[#This Row],[Total-2016]]</f>
        <v>0</v>
      </c>
    </row>
    <row r="143" spans="1:11" s="9" customFormat="1" hidden="1" x14ac:dyDescent="0.3">
      <c r="A143" t="s">
        <v>315</v>
      </c>
      <c r="B143" t="s">
        <v>174</v>
      </c>
      <c r="C143">
        <v>62</v>
      </c>
      <c r="D143" t="s">
        <v>291</v>
      </c>
      <c r="E143"/>
      <c r="F143"/>
      <c r="G143">
        <v>1334957</v>
      </c>
      <c r="H143"/>
      <c r="I143" s="43"/>
      <c r="J143"/>
      <c r="K143">
        <f>Table1[[#This Row],[Total-2016]]</f>
        <v>0</v>
      </c>
    </row>
    <row r="144" spans="1:11" hidden="1" x14ac:dyDescent="0.3">
      <c r="A144" t="s">
        <v>316</v>
      </c>
      <c r="B144" t="s">
        <v>174</v>
      </c>
      <c r="C144">
        <v>62</v>
      </c>
      <c r="D144" t="s">
        <v>291</v>
      </c>
      <c r="G144">
        <v>17601</v>
      </c>
      <c r="I144" s="43"/>
      <c r="K144">
        <f>Table1[[#This Row],[Total-2016]]</f>
        <v>0</v>
      </c>
    </row>
    <row r="145" spans="1:11" hidden="1" x14ac:dyDescent="0.3">
      <c r="A145" t="s">
        <v>180</v>
      </c>
      <c r="B145" t="s">
        <v>174</v>
      </c>
      <c r="C145">
        <v>62</v>
      </c>
      <c r="D145" t="s">
        <v>291</v>
      </c>
      <c r="G145">
        <v>117209</v>
      </c>
      <c r="I145" s="43"/>
      <c r="K145">
        <f>Table1[[#This Row],[Total-2016]]</f>
        <v>0</v>
      </c>
    </row>
    <row r="146" spans="1:11" hidden="1" x14ac:dyDescent="0.3">
      <c r="A146" t="s">
        <v>181</v>
      </c>
      <c r="B146" t="s">
        <v>174</v>
      </c>
      <c r="C146">
        <v>62</v>
      </c>
      <c r="D146" t="s">
        <v>291</v>
      </c>
      <c r="G146">
        <v>0</v>
      </c>
      <c r="I146" s="43"/>
      <c r="K146">
        <f>Table1[[#This Row],[Total-2016]]</f>
        <v>0</v>
      </c>
    </row>
    <row r="147" spans="1:11" s="9" customFormat="1" hidden="1" x14ac:dyDescent="0.3">
      <c r="A147" t="s">
        <v>182</v>
      </c>
      <c r="B147" t="s">
        <v>174</v>
      </c>
      <c r="C147">
        <v>62</v>
      </c>
      <c r="D147" t="s">
        <v>291</v>
      </c>
      <c r="E147"/>
      <c r="F147"/>
      <c r="G147">
        <v>428720</v>
      </c>
      <c r="I147" s="44"/>
      <c r="J147"/>
      <c r="K147">
        <f>Table1[[#This Row],[Total-2016]]</f>
        <v>0</v>
      </c>
    </row>
    <row r="148" spans="1:11" hidden="1" x14ac:dyDescent="0.3">
      <c r="A148" t="s">
        <v>270</v>
      </c>
      <c r="B148" t="s">
        <v>174</v>
      </c>
      <c r="C148">
        <v>62</v>
      </c>
      <c r="D148" t="s">
        <v>291</v>
      </c>
      <c r="G148">
        <v>0</v>
      </c>
      <c r="I148" s="43"/>
      <c r="K148">
        <f>Table1[[#This Row],[Total-2016]]</f>
        <v>0</v>
      </c>
    </row>
    <row r="149" spans="1:11" hidden="1" x14ac:dyDescent="0.3">
      <c r="A149" t="s">
        <v>183</v>
      </c>
      <c r="B149" t="s">
        <v>174</v>
      </c>
      <c r="C149">
        <v>62</v>
      </c>
      <c r="D149" t="s">
        <v>291</v>
      </c>
      <c r="G149">
        <v>1981795</v>
      </c>
      <c r="I149" s="43"/>
      <c r="K149">
        <f>Table1[[#This Row],[Total-2016]]</f>
        <v>0</v>
      </c>
    </row>
    <row r="150" spans="1:11" hidden="1" x14ac:dyDescent="0.3">
      <c r="A150" t="s">
        <v>271</v>
      </c>
      <c r="B150" t="s">
        <v>174</v>
      </c>
      <c r="C150">
        <v>62</v>
      </c>
      <c r="D150" t="s">
        <v>291</v>
      </c>
      <c r="G150">
        <v>56249</v>
      </c>
      <c r="I150" s="43"/>
      <c r="K150">
        <f>Table1[[#This Row],[Total-2016]]</f>
        <v>0</v>
      </c>
    </row>
    <row r="151" spans="1:11" hidden="1" x14ac:dyDescent="0.3">
      <c r="A151" t="s">
        <v>317</v>
      </c>
      <c r="B151" t="s">
        <v>174</v>
      </c>
      <c r="C151">
        <v>62</v>
      </c>
      <c r="D151" t="s">
        <v>291</v>
      </c>
      <c r="G151">
        <v>71589</v>
      </c>
      <c r="H151" s="9"/>
      <c r="I151" s="44"/>
      <c r="K151">
        <f>Table1[[#This Row],[Total-2016]]</f>
        <v>0</v>
      </c>
    </row>
    <row r="152" spans="1:11" s="9" customFormat="1" hidden="1" x14ac:dyDescent="0.3">
      <c r="A152" t="s">
        <v>318</v>
      </c>
      <c r="B152" t="s">
        <v>174</v>
      </c>
      <c r="C152">
        <v>62</v>
      </c>
      <c r="D152" t="s">
        <v>291</v>
      </c>
      <c r="E152"/>
      <c r="F152"/>
      <c r="G152">
        <v>227864</v>
      </c>
      <c r="H152"/>
      <c r="I152" s="43"/>
      <c r="J152"/>
      <c r="K152">
        <f>Table1[[#This Row],[Total-2016]]</f>
        <v>0</v>
      </c>
    </row>
    <row r="153" spans="1:11" hidden="1" x14ac:dyDescent="0.3">
      <c r="A153" t="s">
        <v>272</v>
      </c>
      <c r="B153" t="s">
        <v>174</v>
      </c>
      <c r="C153">
        <v>62</v>
      </c>
      <c r="D153" t="s">
        <v>291</v>
      </c>
      <c r="G153">
        <v>4448394</v>
      </c>
      <c r="I153" s="43"/>
      <c r="K153">
        <f>Table1[[#This Row],[Total-2016]]</f>
        <v>0</v>
      </c>
    </row>
    <row r="154" spans="1:11" s="9" customFormat="1" hidden="1" x14ac:dyDescent="0.3">
      <c r="A154" t="s">
        <v>184</v>
      </c>
      <c r="B154" t="s">
        <v>174</v>
      </c>
      <c r="C154">
        <v>62</v>
      </c>
      <c r="D154" t="s">
        <v>291</v>
      </c>
      <c r="E154"/>
      <c r="F154"/>
      <c r="G154">
        <v>57410</v>
      </c>
      <c r="H154"/>
      <c r="I154" s="43"/>
      <c r="J154"/>
      <c r="K154">
        <f>Table1[[#This Row],[Total-2016]]</f>
        <v>0</v>
      </c>
    </row>
    <row r="155" spans="1:11" hidden="1" x14ac:dyDescent="0.3">
      <c r="A155" t="s">
        <v>175</v>
      </c>
      <c r="B155" t="s">
        <v>174</v>
      </c>
      <c r="C155">
        <v>62</v>
      </c>
      <c r="D155" t="s">
        <v>291</v>
      </c>
      <c r="G155">
        <v>2088967</v>
      </c>
      <c r="I155" s="43"/>
      <c r="K155">
        <f>Table1[[#This Row],[Total-2016]]</f>
        <v>0</v>
      </c>
    </row>
    <row r="156" spans="1:11" hidden="1" x14ac:dyDescent="0.3">
      <c r="A156" t="s">
        <v>176</v>
      </c>
      <c r="B156" t="s">
        <v>174</v>
      </c>
      <c r="C156">
        <v>62</v>
      </c>
      <c r="D156" t="s">
        <v>291</v>
      </c>
      <c r="G156">
        <v>0</v>
      </c>
      <c r="H156" s="9"/>
      <c r="I156" s="44"/>
      <c r="K156">
        <f>Table1[[#This Row],[Total-2016]]</f>
        <v>0</v>
      </c>
    </row>
    <row r="157" spans="1:11" hidden="1" x14ac:dyDescent="0.3">
      <c r="A157" s="9" t="s">
        <v>177</v>
      </c>
      <c r="B157" s="9" t="s">
        <v>174</v>
      </c>
      <c r="C157" s="9">
        <v>62</v>
      </c>
      <c r="D157" s="9" t="s">
        <v>291</v>
      </c>
      <c r="E157" s="9"/>
      <c r="F157" s="9"/>
      <c r="G157" s="9" t="s">
        <v>4</v>
      </c>
      <c r="I157" s="43"/>
      <c r="K157">
        <f>Table1[[#This Row],[Total-2016]]</f>
        <v>0</v>
      </c>
    </row>
    <row r="158" spans="1:11" hidden="1" x14ac:dyDescent="0.3">
      <c r="A158" t="s">
        <v>273</v>
      </c>
      <c r="B158" t="s">
        <v>174</v>
      </c>
      <c r="C158">
        <v>62</v>
      </c>
      <c r="D158" t="s">
        <v>291</v>
      </c>
      <c r="G158">
        <v>205049</v>
      </c>
      <c r="H158" s="9"/>
      <c r="I158" s="44"/>
      <c r="K158">
        <f>Table1[[#This Row],[Total-2016]]</f>
        <v>0</v>
      </c>
    </row>
    <row r="159" spans="1:11" hidden="1" x14ac:dyDescent="0.3">
      <c r="A159" t="s">
        <v>319</v>
      </c>
      <c r="B159" t="s">
        <v>174</v>
      </c>
      <c r="C159">
        <v>62</v>
      </c>
      <c r="D159" t="s">
        <v>291</v>
      </c>
      <c r="G159">
        <v>0</v>
      </c>
      <c r="I159" s="43"/>
      <c r="K159">
        <f>Table1[[#This Row],[Total-2016]]</f>
        <v>0</v>
      </c>
    </row>
    <row r="160" spans="1:11" hidden="1" x14ac:dyDescent="0.3">
      <c r="A160" t="s">
        <v>159</v>
      </c>
      <c r="B160" t="s">
        <v>174</v>
      </c>
      <c r="C160">
        <v>62</v>
      </c>
      <c r="D160" t="s">
        <v>291</v>
      </c>
      <c r="G160">
        <v>45307</v>
      </c>
      <c r="I160" s="43"/>
      <c r="K160">
        <f>Table1[[#This Row],[Total-2016]]</f>
        <v>0</v>
      </c>
    </row>
    <row r="161" spans="1:11" hidden="1" x14ac:dyDescent="0.3">
      <c r="A161" t="s">
        <v>185</v>
      </c>
      <c r="B161" t="s">
        <v>174</v>
      </c>
      <c r="C161">
        <v>62</v>
      </c>
      <c r="D161" t="s">
        <v>291</v>
      </c>
      <c r="G161">
        <v>65005</v>
      </c>
      <c r="I161" s="43"/>
      <c r="K161">
        <f>Table1[[#This Row],[Total-2016]]</f>
        <v>0</v>
      </c>
    </row>
    <row r="162" spans="1:11" hidden="1" x14ac:dyDescent="0.3">
      <c r="A162" t="s">
        <v>206</v>
      </c>
      <c r="B162" t="s">
        <v>206</v>
      </c>
      <c r="C162">
        <v>66</v>
      </c>
      <c r="D162" t="s">
        <v>294</v>
      </c>
      <c r="G162">
        <v>889913</v>
      </c>
      <c r="I162" s="43"/>
      <c r="K162">
        <f>Table1[[#This Row],[Total-2016]]</f>
        <v>0</v>
      </c>
    </row>
    <row r="163" spans="1:11" hidden="1" x14ac:dyDescent="0.3">
      <c r="A163" t="s">
        <v>191</v>
      </c>
      <c r="B163" t="s">
        <v>191</v>
      </c>
      <c r="C163">
        <v>67</v>
      </c>
      <c r="D163" t="s">
        <v>283</v>
      </c>
      <c r="G163">
        <v>1174676</v>
      </c>
      <c r="I163" s="43"/>
      <c r="K163">
        <f>Table1[[#This Row],[Total-2016]]</f>
        <v>0</v>
      </c>
    </row>
    <row r="164" spans="1:11" hidden="1" x14ac:dyDescent="0.3">
      <c r="A164" t="s">
        <v>192</v>
      </c>
      <c r="B164" t="s">
        <v>191</v>
      </c>
      <c r="C164">
        <v>67</v>
      </c>
      <c r="D164" t="s">
        <v>283</v>
      </c>
      <c r="G164">
        <v>270323</v>
      </c>
      <c r="I164" s="43"/>
      <c r="J164" s="9"/>
      <c r="K164" s="9">
        <f>Table1[[#This Row],[Total-2016]]</f>
        <v>0</v>
      </c>
    </row>
    <row r="165" spans="1:11" hidden="1" x14ac:dyDescent="0.3">
      <c r="A165" t="s">
        <v>157</v>
      </c>
      <c r="B165" t="s">
        <v>157</v>
      </c>
      <c r="C165">
        <v>10</v>
      </c>
      <c r="D165" t="s">
        <v>281</v>
      </c>
      <c r="G165">
        <v>4123349</v>
      </c>
      <c r="I165" s="43"/>
      <c r="K165">
        <f>Table1[[#This Row],[Total-2016]]</f>
        <v>0</v>
      </c>
    </row>
    <row r="166" spans="1:11" hidden="1" x14ac:dyDescent="0.3">
      <c r="A166" t="s">
        <v>60</v>
      </c>
      <c r="B166" t="s">
        <v>60</v>
      </c>
      <c r="C166">
        <v>59</v>
      </c>
      <c r="D166" t="s">
        <v>278</v>
      </c>
      <c r="G166">
        <v>234943</v>
      </c>
      <c r="H166" s="9"/>
      <c r="I166" s="44">
        <v>228967.87</v>
      </c>
      <c r="K166">
        <f>Table1[[#This Row],[Total-2016]]</f>
        <v>228967.87</v>
      </c>
    </row>
    <row r="167" spans="1:11" hidden="1" x14ac:dyDescent="0.3">
      <c r="A167" t="s">
        <v>108</v>
      </c>
      <c r="B167" t="s">
        <v>108</v>
      </c>
      <c r="C167">
        <v>21</v>
      </c>
      <c r="D167" t="s">
        <v>278</v>
      </c>
      <c r="G167">
        <v>2282716</v>
      </c>
      <c r="I167" s="43">
        <v>20703442.25</v>
      </c>
      <c r="K167">
        <f>Table1[[#This Row],[Total-2016]]</f>
        <v>20703442.25</v>
      </c>
    </row>
    <row r="169" spans="1:11" x14ac:dyDescent="0.3">
      <c r="A169" t="s">
        <v>321</v>
      </c>
      <c r="C169">
        <v>1</v>
      </c>
      <c r="D169">
        <f>SUMIF(Table1[No], C169, Table1[Total 2015])</f>
        <v>17526</v>
      </c>
    </row>
    <row r="170" spans="1:11" x14ac:dyDescent="0.3">
      <c r="A170" t="s">
        <v>322</v>
      </c>
      <c r="C170">
        <v>2</v>
      </c>
      <c r="D170">
        <f>SUMIF(Table1[No], C170, Table1[Total 2015])</f>
        <v>408071</v>
      </c>
    </row>
    <row r="171" spans="1:11" x14ac:dyDescent="0.3">
      <c r="A171" t="s">
        <v>323</v>
      </c>
      <c r="C171">
        <v>3</v>
      </c>
      <c r="D171">
        <f>SUMIF(Table1[No], C171, Table1[Total 2015])</f>
        <v>0</v>
      </c>
    </row>
    <row r="172" spans="1:11" x14ac:dyDescent="0.3">
      <c r="A172" t="s">
        <v>324</v>
      </c>
      <c r="C172">
        <v>4</v>
      </c>
      <c r="D172">
        <f>SUMIF(Table1[No], C172, Table1[Total 2015])</f>
        <v>0</v>
      </c>
    </row>
    <row r="173" spans="1:11" x14ac:dyDescent="0.3">
      <c r="A173" t="s">
        <v>325</v>
      </c>
      <c r="C173">
        <v>5</v>
      </c>
      <c r="D173">
        <f>SUMIF(Table1[No], C173, Table1[Total 2015])</f>
        <v>0</v>
      </c>
    </row>
    <row r="174" spans="1:11" x14ac:dyDescent="0.3">
      <c r="A174" t="s">
        <v>326</v>
      </c>
      <c r="C174">
        <v>6</v>
      </c>
      <c r="D174">
        <f>SUMIF(Table1[No], C174, Table1[Total 2015])</f>
        <v>0</v>
      </c>
    </row>
    <row r="175" spans="1:11" x14ac:dyDescent="0.3">
      <c r="A175" t="s">
        <v>327</v>
      </c>
      <c r="C175">
        <v>7</v>
      </c>
      <c r="D175">
        <f>SUMIF(Table1[No], C175, Table1[Total 2015])</f>
        <v>13538251</v>
      </c>
    </row>
    <row r="176" spans="1:11" x14ac:dyDescent="0.3">
      <c r="A176" t="s">
        <v>328</v>
      </c>
      <c r="C176">
        <v>8</v>
      </c>
      <c r="D176">
        <f>SUMIF(Table1[No], C176, Table1[Total 2015])</f>
        <v>0</v>
      </c>
    </row>
    <row r="177" spans="1:4" x14ac:dyDescent="0.3">
      <c r="A177" t="s">
        <v>329</v>
      </c>
      <c r="C177">
        <v>9</v>
      </c>
      <c r="D177">
        <f>SUMIF(Table1[No], C177, Table1[Total 2015])</f>
        <v>0</v>
      </c>
    </row>
    <row r="178" spans="1:4" x14ac:dyDescent="0.3">
      <c r="A178" t="s">
        <v>330</v>
      </c>
      <c r="C178">
        <v>10</v>
      </c>
      <c r="D178">
        <f>SUMIF(Table1[No], C178, Table1[Total 2015])</f>
        <v>4123349</v>
      </c>
    </row>
    <row r="179" spans="1:4" x14ac:dyDescent="0.3">
      <c r="A179" t="s">
        <v>331</v>
      </c>
      <c r="C179">
        <v>11</v>
      </c>
      <c r="D179">
        <f>SUMIF(Table1[No], C179, Table1[Total 2015])</f>
        <v>0</v>
      </c>
    </row>
    <row r="180" spans="1:4" x14ac:dyDescent="0.3">
      <c r="A180" t="s">
        <v>332</v>
      </c>
      <c r="C180">
        <v>12</v>
      </c>
      <c r="D180">
        <f>SUMIF(Table1[No], C180, Table1[Total 2015])</f>
        <v>13018953</v>
      </c>
    </row>
    <row r="181" spans="1:4" x14ac:dyDescent="0.3">
      <c r="A181" t="s">
        <v>333</v>
      </c>
      <c r="C181">
        <v>13</v>
      </c>
      <c r="D181">
        <f>SUMIF(Table1[No], C181, Table1[Total 2015])</f>
        <v>0</v>
      </c>
    </row>
    <row r="182" spans="1:4" x14ac:dyDescent="0.3">
      <c r="A182" t="s">
        <v>334</v>
      </c>
      <c r="C182">
        <v>14</v>
      </c>
      <c r="D182">
        <f>SUMIF(Table1[No], C182, Table1[Total 2015])</f>
        <v>1328551</v>
      </c>
    </row>
    <row r="183" spans="1:4" x14ac:dyDescent="0.3">
      <c r="A183" t="s">
        <v>335</v>
      </c>
      <c r="C183">
        <v>15</v>
      </c>
      <c r="D183">
        <f>SUMIF(Table1[No], C183, Table1[Total 2015])</f>
        <v>10888225</v>
      </c>
    </row>
    <row r="184" spans="1:4" x14ac:dyDescent="0.3">
      <c r="A184" t="s">
        <v>336</v>
      </c>
      <c r="C184">
        <v>16</v>
      </c>
      <c r="D184">
        <f>SUMIF(Table1[No], C184, Table1[Total 2015])</f>
        <v>8924103</v>
      </c>
    </row>
    <row r="185" spans="1:4" x14ac:dyDescent="0.3">
      <c r="A185" t="s">
        <v>337</v>
      </c>
      <c r="C185">
        <v>17</v>
      </c>
      <c r="D185">
        <f>SUMIF(Table1[No], C185, Table1[Total 2015])</f>
        <v>2546449</v>
      </c>
    </row>
    <row r="186" spans="1:4" x14ac:dyDescent="0.3">
      <c r="A186" t="s">
        <v>338</v>
      </c>
      <c r="C186">
        <v>18</v>
      </c>
      <c r="D186">
        <f>SUMIF(Table1[No], C186, Table1[Total 2015])</f>
        <v>5534891</v>
      </c>
    </row>
    <row r="187" spans="1:4" x14ac:dyDescent="0.3">
      <c r="A187" t="s">
        <v>339</v>
      </c>
      <c r="C187">
        <v>19</v>
      </c>
      <c r="D187">
        <f>SUMIF(Table1[No], C187, Table1[Total 2015])</f>
        <v>0</v>
      </c>
    </row>
    <row r="188" spans="1:4" x14ac:dyDescent="0.3">
      <c r="A188" t="s">
        <v>340</v>
      </c>
      <c r="C188">
        <v>20</v>
      </c>
      <c r="D188">
        <f>SUMIF(Table1[No], C188, Table1[Total 2015])</f>
        <v>0</v>
      </c>
    </row>
    <row r="189" spans="1:4" x14ac:dyDescent="0.3">
      <c r="A189" t="s">
        <v>341</v>
      </c>
      <c r="C189">
        <v>21</v>
      </c>
      <c r="D189">
        <f>SUMIF(Table1[No], C189, Table1[Total 2015])</f>
        <v>2282716</v>
      </c>
    </row>
    <row r="190" spans="1:4" x14ac:dyDescent="0.3">
      <c r="A190" t="s">
        <v>342</v>
      </c>
      <c r="C190">
        <v>22</v>
      </c>
      <c r="D190">
        <f>SUMIF(Table1[No], C190, Table1[Total 2015])</f>
        <v>0</v>
      </c>
    </row>
    <row r="191" spans="1:4" x14ac:dyDescent="0.3">
      <c r="A191" t="s">
        <v>343</v>
      </c>
      <c r="C191">
        <v>23</v>
      </c>
      <c r="D191">
        <f>SUMIF(Table1[No], C191, Table1[Total 2015])</f>
        <v>0</v>
      </c>
    </row>
    <row r="192" spans="1:4" x14ac:dyDescent="0.3">
      <c r="A192" t="s">
        <v>344</v>
      </c>
      <c r="C192">
        <v>24</v>
      </c>
      <c r="D192">
        <f>SUMIF(Table1[No], C192, Table1[Total 2015])</f>
        <v>0</v>
      </c>
    </row>
    <row r="193" spans="1:4" x14ac:dyDescent="0.3">
      <c r="A193" t="s">
        <v>345</v>
      </c>
      <c r="C193">
        <v>25</v>
      </c>
      <c r="D193">
        <f>SUMIF(Table1[No], C193, Table1[Total 2015])</f>
        <v>0</v>
      </c>
    </row>
    <row r="194" spans="1:4" x14ac:dyDescent="0.3">
      <c r="A194" t="s">
        <v>346</v>
      </c>
      <c r="C194">
        <v>26</v>
      </c>
      <c r="D194">
        <f>SUMIF(Table1[No], C194, Table1[Total 2015])</f>
        <v>0</v>
      </c>
    </row>
    <row r="195" spans="1:4" x14ac:dyDescent="0.3">
      <c r="A195" t="s">
        <v>347</v>
      </c>
      <c r="C195">
        <v>27</v>
      </c>
      <c r="D195">
        <f>SUMIF(Table1[No], C195, Table1[Total 2015])</f>
        <v>0</v>
      </c>
    </row>
    <row r="196" spans="1:4" x14ac:dyDescent="0.3">
      <c r="A196" t="s">
        <v>348</v>
      </c>
      <c r="C196">
        <v>28</v>
      </c>
      <c r="D196">
        <f>SUMIF(Table1[No], C196, Table1[Total 2015])</f>
        <v>0</v>
      </c>
    </row>
    <row r="197" spans="1:4" x14ac:dyDescent="0.3">
      <c r="A197" t="s">
        <v>349</v>
      </c>
      <c r="C197">
        <v>29</v>
      </c>
      <c r="D197">
        <f>SUMIF(Table1[No], C197, Table1[Total 2015])</f>
        <v>0</v>
      </c>
    </row>
    <row r="198" spans="1:4" x14ac:dyDescent="0.3">
      <c r="A198" t="s">
        <v>350</v>
      </c>
      <c r="C198">
        <v>30</v>
      </c>
      <c r="D198">
        <f>SUMIF(Table1[No], C198, Table1[Total 2015])</f>
        <v>0</v>
      </c>
    </row>
    <row r="199" spans="1:4" x14ac:dyDescent="0.3">
      <c r="A199" t="s">
        <v>351</v>
      </c>
      <c r="C199">
        <v>31</v>
      </c>
      <c r="D199">
        <f>SUMIF(Table1[No], C199, Table1[Total 2015])</f>
        <v>2531614</v>
      </c>
    </row>
    <row r="200" spans="1:4" x14ac:dyDescent="0.3">
      <c r="A200" t="s">
        <v>352</v>
      </c>
      <c r="C200">
        <v>32</v>
      </c>
      <c r="D200">
        <f>SUMIF(Table1[No], C200, Table1[Total 2015])</f>
        <v>0</v>
      </c>
    </row>
    <row r="201" spans="1:4" x14ac:dyDescent="0.3">
      <c r="A201" t="s">
        <v>353</v>
      </c>
      <c r="C201">
        <v>33</v>
      </c>
      <c r="D201">
        <f>SUMIF(Table1[No], C201, Table1[Total 2015])</f>
        <v>0</v>
      </c>
    </row>
    <row r="202" spans="1:4" x14ac:dyDescent="0.3">
      <c r="A202" t="s">
        <v>354</v>
      </c>
      <c r="C202">
        <v>34</v>
      </c>
      <c r="D202">
        <f>SUMIF(Table1[No], C202, Table1[Total 2015])</f>
        <v>0</v>
      </c>
    </row>
    <row r="203" spans="1:4" x14ac:dyDescent="0.3">
      <c r="A203" t="s">
        <v>355</v>
      </c>
      <c r="C203">
        <v>35</v>
      </c>
      <c r="D203">
        <f>SUMIF(Table1[No], C203, Table1[Total 2015])</f>
        <v>0</v>
      </c>
    </row>
    <row r="204" spans="1:4" x14ac:dyDescent="0.3">
      <c r="A204" t="s">
        <v>356</v>
      </c>
      <c r="C204">
        <v>36</v>
      </c>
      <c r="D204">
        <f>SUMIF(Table1[No], C204, Table1[Total 2015])</f>
        <v>0</v>
      </c>
    </row>
    <row r="205" spans="1:4" x14ac:dyDescent="0.3">
      <c r="A205" t="s">
        <v>357</v>
      </c>
      <c r="C205">
        <v>37</v>
      </c>
      <c r="D205">
        <f>SUMIF(Table1[No], C205, Table1[Total 2015])</f>
        <v>0</v>
      </c>
    </row>
    <row r="206" spans="1:4" x14ac:dyDescent="0.3">
      <c r="A206" t="s">
        <v>358</v>
      </c>
      <c r="C206">
        <v>38</v>
      </c>
      <c r="D206">
        <f>SUMIF(Table1[No], C206, Table1[Total 2015])</f>
        <v>0</v>
      </c>
    </row>
    <row r="207" spans="1:4" x14ac:dyDescent="0.3">
      <c r="A207" t="s">
        <v>359</v>
      </c>
      <c r="C207">
        <v>39</v>
      </c>
      <c r="D207">
        <f>SUMIF(Table1[No], C207, Table1[Total 2015])</f>
        <v>0</v>
      </c>
    </row>
    <row r="208" spans="1:4" x14ac:dyDescent="0.3">
      <c r="A208" t="s">
        <v>360</v>
      </c>
      <c r="C208">
        <v>40</v>
      </c>
      <c r="D208">
        <f>SUMIF(Table1[No], C208, Table1[Total 2015])</f>
        <v>0</v>
      </c>
    </row>
    <row r="209" spans="1:4" x14ac:dyDescent="0.3">
      <c r="A209" t="s">
        <v>361</v>
      </c>
      <c r="C209">
        <v>41</v>
      </c>
      <c r="D209">
        <f>SUMIF(Table1[No], C209, Table1[Total 2015])</f>
        <v>0</v>
      </c>
    </row>
    <row r="210" spans="1:4" x14ac:dyDescent="0.3">
      <c r="A210" t="s">
        <v>362</v>
      </c>
      <c r="C210">
        <v>42</v>
      </c>
      <c r="D210">
        <f>SUMIF(Table1[No], C210, Table1[Total 2015])</f>
        <v>0</v>
      </c>
    </row>
    <row r="211" spans="1:4" x14ac:dyDescent="0.3">
      <c r="A211" t="s">
        <v>363</v>
      </c>
      <c r="C211">
        <v>43</v>
      </c>
      <c r="D211">
        <f>SUMIF(Table1[No], C211, Table1[Total 2015])</f>
        <v>0</v>
      </c>
    </row>
    <row r="212" spans="1:4" x14ac:dyDescent="0.3">
      <c r="A212" t="s">
        <v>364</v>
      </c>
      <c r="C212">
        <v>44</v>
      </c>
      <c r="D212">
        <f>SUMIF(Table1[No], C212, Table1[Total 2015])</f>
        <v>770261</v>
      </c>
    </row>
    <row r="213" spans="1:4" x14ac:dyDescent="0.3">
      <c r="A213" t="s">
        <v>365</v>
      </c>
      <c r="C213">
        <v>45</v>
      </c>
      <c r="D213">
        <f>SUMIF(Table1[No], C213, Table1[Total 2015])</f>
        <v>288756</v>
      </c>
    </row>
    <row r="214" spans="1:4" x14ac:dyDescent="0.3">
      <c r="A214" t="s">
        <v>366</v>
      </c>
      <c r="C214">
        <v>46</v>
      </c>
      <c r="D214">
        <f>SUMIF(Table1[No], C214, Table1[Total 2015])</f>
        <v>3145898</v>
      </c>
    </row>
    <row r="215" spans="1:4" x14ac:dyDescent="0.3">
      <c r="A215" t="s">
        <v>367</v>
      </c>
      <c r="C215">
        <v>47</v>
      </c>
      <c r="D215">
        <f>SUMIF(Table1[No], C215, Table1[Total 2015])</f>
        <v>1482527</v>
      </c>
    </row>
    <row r="216" spans="1:4" x14ac:dyDescent="0.3">
      <c r="A216" t="s">
        <v>368</v>
      </c>
      <c r="C216">
        <v>48</v>
      </c>
      <c r="D216">
        <f>SUMIF(Table1[No], C216, Table1[Total 2015])</f>
        <v>0</v>
      </c>
    </row>
    <row r="217" spans="1:4" x14ac:dyDescent="0.3">
      <c r="A217" t="s">
        <v>369</v>
      </c>
      <c r="C217">
        <v>49</v>
      </c>
      <c r="D217">
        <f>SUMIF(Table1[No], C217, Table1[Total 2015])</f>
        <v>983221</v>
      </c>
    </row>
    <row r="218" spans="1:4" x14ac:dyDescent="0.3">
      <c r="A218" t="s">
        <v>370</v>
      </c>
      <c r="C218">
        <v>50</v>
      </c>
      <c r="D218">
        <f>SUMIF(Table1[No], C218, Table1[Total 2015])</f>
        <v>0</v>
      </c>
    </row>
    <row r="219" spans="1:4" x14ac:dyDescent="0.3">
      <c r="A219" t="s">
        <v>371</v>
      </c>
      <c r="C219">
        <v>51</v>
      </c>
      <c r="D219">
        <f>SUMIF(Table1[No], C219, Table1[Total 2015])</f>
        <v>0</v>
      </c>
    </row>
    <row r="220" spans="1:4" x14ac:dyDescent="0.3">
      <c r="A220" t="s">
        <v>372</v>
      </c>
      <c r="C220">
        <v>52</v>
      </c>
      <c r="D220">
        <f>SUMIF(Table1[No], C220, Table1[Total 2015])</f>
        <v>361293</v>
      </c>
    </row>
    <row r="221" spans="1:4" x14ac:dyDescent="0.3">
      <c r="A221" t="s">
        <v>373</v>
      </c>
      <c r="C221">
        <v>53</v>
      </c>
      <c r="D221">
        <f>SUMIF(Table1[No], C221, Table1[Total 2015])</f>
        <v>2161458</v>
      </c>
    </row>
    <row r="222" spans="1:4" x14ac:dyDescent="0.3">
      <c r="A222" t="s">
        <v>374</v>
      </c>
      <c r="C222">
        <v>54</v>
      </c>
      <c r="D222">
        <f>SUMIF(Table1[No], C222, Table1[Total 2015])</f>
        <v>902277</v>
      </c>
    </row>
    <row r="223" spans="1:4" x14ac:dyDescent="0.3">
      <c r="A223" t="s">
        <v>375</v>
      </c>
      <c r="C223">
        <v>55</v>
      </c>
      <c r="D223">
        <f>SUMIF(Table1[No], C223, Table1[Total 2015])</f>
        <v>136428</v>
      </c>
    </row>
    <row r="224" spans="1:4" x14ac:dyDescent="0.3">
      <c r="A224" t="s">
        <v>376</v>
      </c>
      <c r="C224">
        <v>56</v>
      </c>
      <c r="D224">
        <f>SUMIF(Table1[No], C224, Table1[Total 2015])</f>
        <v>1770519</v>
      </c>
    </row>
    <row r="225" spans="1:4" x14ac:dyDescent="0.3">
      <c r="A225" t="s">
        <v>377</v>
      </c>
      <c r="C225">
        <v>57</v>
      </c>
      <c r="D225">
        <f>SUMIF(Table1[No], C225, Table1[Total 2015])</f>
        <v>41175362</v>
      </c>
    </row>
    <row r="226" spans="1:4" x14ac:dyDescent="0.3">
      <c r="A226" t="s">
        <v>378</v>
      </c>
      <c r="C226">
        <v>58</v>
      </c>
      <c r="D226">
        <f>SUMIF(Table1[No], C226, Table1[Total 2015])</f>
        <v>9429650</v>
      </c>
    </row>
    <row r="227" spans="1:4" x14ac:dyDescent="0.3">
      <c r="A227" t="s">
        <v>379</v>
      </c>
      <c r="C227">
        <v>59</v>
      </c>
      <c r="D227">
        <f>SUMIF(Table1[No], C227, Table1[Total 2015])</f>
        <v>234943</v>
      </c>
    </row>
    <row r="228" spans="1:4" x14ac:dyDescent="0.3">
      <c r="A228" t="s">
        <v>380</v>
      </c>
      <c r="C228">
        <v>60</v>
      </c>
      <c r="D228">
        <f>SUMIF(Table1[No], C228, Table1[Total 2015])</f>
        <v>27029894</v>
      </c>
    </row>
    <row r="229" spans="1:4" x14ac:dyDescent="0.3">
      <c r="A229" t="s">
        <v>381</v>
      </c>
      <c r="C229">
        <v>61</v>
      </c>
      <c r="D229">
        <f>SUMIF(Table1[No], C229, Table1[Total 2015])</f>
        <v>25978398</v>
      </c>
    </row>
    <row r="230" spans="1:4" x14ac:dyDescent="0.3">
      <c r="A230" t="s">
        <v>382</v>
      </c>
      <c r="C230">
        <v>62</v>
      </c>
      <c r="D230">
        <f>SUMIF(Table1[No], C230, Table1[Total 2015])</f>
        <v>12077940</v>
      </c>
    </row>
    <row r="231" spans="1:4" x14ac:dyDescent="0.3">
      <c r="A231" t="s">
        <v>383</v>
      </c>
      <c r="C231">
        <v>63</v>
      </c>
      <c r="D231">
        <f>SUMIF(Table1[No], C231, Table1[Total 2015])</f>
        <v>0</v>
      </c>
    </row>
    <row r="232" spans="1:4" x14ac:dyDescent="0.3">
      <c r="A232" t="s">
        <v>384</v>
      </c>
      <c r="C232">
        <v>64</v>
      </c>
      <c r="D232">
        <f>SUMIF(Table1[No], C232, Table1[Total 2015])</f>
        <v>968457</v>
      </c>
    </row>
    <row r="233" spans="1:4" x14ac:dyDescent="0.3">
      <c r="A233" t="s">
        <v>385</v>
      </c>
      <c r="C233">
        <v>65</v>
      </c>
      <c r="D233">
        <f>SUMIF(Table1[No], C233, Table1[Total 2015])</f>
        <v>1657363</v>
      </c>
    </row>
    <row r="234" spans="1:4" x14ac:dyDescent="0.3">
      <c r="A234" t="s">
        <v>386</v>
      </c>
      <c r="C234">
        <v>66</v>
      </c>
      <c r="D234">
        <f>SUMIF(Table1[No], C234, Table1[Total 2015])</f>
        <v>889913</v>
      </c>
    </row>
    <row r="235" spans="1:4" x14ac:dyDescent="0.3">
      <c r="A235" t="s">
        <v>387</v>
      </c>
      <c r="C235">
        <v>67</v>
      </c>
      <c r="D235">
        <f>SUMIF(Table1[No], C235, Table1[Total 2015])</f>
        <v>1444999</v>
      </c>
    </row>
  </sheetData>
  <sortState ref="A9:C167">
    <sortCondition ref="C9:C167"/>
  </sortState>
  <hyperlinks>
    <hyperlink ref="B1" r:id="rId1" xr:uid="{00000000-0004-0000-0300-000000000000}"/>
    <hyperlink ref="B2" r:id="rId2" xr:uid="{00000000-0004-0000-0300-000001000000}"/>
    <hyperlink ref="B3" r:id="rId3" xr:uid="{00000000-0004-0000-0300-000002000000}"/>
    <hyperlink ref="B4" r:id="rId4" xr:uid="{00000000-0004-0000-0300-000003000000}"/>
  </hyperlinks>
  <pageMargins left="0.7" right="0.7" top="0.75" bottom="0.75" header="0.3" footer="0.3"/>
  <pageSetup paperSize="9" orientation="portrait" horizontalDpi="4294967293" verticalDpi="4294967293" r:id="rId5"/>
  <tableParts count="1">
    <tablePart r:id="rId6"/>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F75"/>
  <sheetViews>
    <sheetView topLeftCell="C1" workbookViewId="0">
      <pane xSplit="2" topLeftCell="E1" activePane="topRight" state="frozen"/>
      <selection activeCell="J9" sqref="J9"/>
      <selection pane="topRight" activeCell="N34" sqref="N34"/>
    </sheetView>
  </sheetViews>
  <sheetFormatPr defaultRowHeight="14.4" x14ac:dyDescent="0.3"/>
  <cols>
    <col min="1" max="2" width="6.44140625" style="38" customWidth="1"/>
    <col min="3" max="3" width="19.33203125" style="39" bestFit="1" customWidth="1"/>
    <col min="4" max="4" width="23.109375" style="39" bestFit="1" customWidth="1"/>
    <col min="5" max="5" width="14.33203125" style="39" bestFit="1" customWidth="1"/>
    <col min="6" max="6" width="14.33203125" style="39" customWidth="1"/>
    <col min="7" max="7" width="10.44140625" customWidth="1"/>
    <col min="10" max="10" width="14.77734375" bestFit="1" customWidth="1"/>
    <col min="11" max="11" width="14.77734375" customWidth="1"/>
    <col min="12" max="12" width="17.5546875" bestFit="1" customWidth="1"/>
    <col min="13" max="13" width="12" bestFit="1" customWidth="1"/>
    <col min="14" max="14" width="16.44140625" bestFit="1" customWidth="1"/>
    <col min="15" max="15" width="8.88671875" style="57"/>
    <col min="16" max="16" width="16.33203125" bestFit="1" customWidth="1"/>
    <col min="17" max="17" width="10" bestFit="1" customWidth="1"/>
    <col min="18" max="18" width="12.44140625" bestFit="1" customWidth="1"/>
    <col min="20" max="20" width="13.21875" customWidth="1"/>
  </cols>
  <sheetData>
    <row r="1" spans="1:32" x14ac:dyDescent="0.3">
      <c r="C1" s="39" t="s">
        <v>418</v>
      </c>
      <c r="D1" s="41" t="s">
        <v>419</v>
      </c>
      <c r="E1" s="41"/>
      <c r="F1" s="41"/>
      <c r="V1" t="s">
        <v>420</v>
      </c>
    </row>
    <row r="2" spans="1:32" x14ac:dyDescent="0.3">
      <c r="C2" s="51" t="s">
        <v>442</v>
      </c>
      <c r="D2" s="52" t="s">
        <v>438</v>
      </c>
      <c r="E2" s="52"/>
      <c r="F2" s="52"/>
    </row>
    <row r="3" spans="1:32" x14ac:dyDescent="0.3">
      <c r="C3" s="51" t="s">
        <v>441</v>
      </c>
      <c r="D3" s="52" t="s">
        <v>440</v>
      </c>
      <c r="E3" s="52"/>
      <c r="F3" s="52"/>
    </row>
    <row r="4" spans="1:32" x14ac:dyDescent="0.3">
      <c r="C4" s="51" t="s">
        <v>608</v>
      </c>
      <c r="D4" s="52" t="s">
        <v>609</v>
      </c>
      <c r="E4" s="52"/>
      <c r="F4" s="52"/>
    </row>
    <row r="5" spans="1:32" x14ac:dyDescent="0.3">
      <c r="C5" s="51"/>
      <c r="D5" s="52"/>
      <c r="E5" s="52"/>
      <c r="F5" s="52"/>
    </row>
    <row r="6" spans="1:32" x14ac:dyDescent="0.3">
      <c r="C6" s="51"/>
      <c r="D6" s="52" t="s">
        <v>445</v>
      </c>
      <c r="E6" s="52"/>
      <c r="F6" s="52"/>
      <c r="G6" s="53">
        <v>39</v>
      </c>
      <c r="H6" t="s">
        <v>589</v>
      </c>
      <c r="J6" s="5" t="s">
        <v>595</v>
      </c>
    </row>
    <row r="7" spans="1:32" x14ac:dyDescent="0.3">
      <c r="C7" s="51"/>
      <c r="D7" s="52" t="s">
        <v>446</v>
      </c>
      <c r="E7" s="52"/>
      <c r="F7" s="52"/>
      <c r="G7" s="53">
        <v>25</v>
      </c>
      <c r="J7" s="5" t="s">
        <v>596</v>
      </c>
      <c r="N7" t="s">
        <v>601</v>
      </c>
    </row>
    <row r="8" spans="1:32" x14ac:dyDescent="0.3">
      <c r="C8" s="51"/>
      <c r="D8" s="52" t="s">
        <v>593</v>
      </c>
      <c r="E8" s="52"/>
      <c r="F8" s="52"/>
      <c r="G8" s="53">
        <f>G7+3</f>
        <v>28</v>
      </c>
      <c r="J8" s="5" t="s">
        <v>594</v>
      </c>
    </row>
    <row r="9" spans="1:32" x14ac:dyDescent="0.3">
      <c r="C9" s="51"/>
      <c r="D9" s="59" t="s">
        <v>591</v>
      </c>
      <c r="E9" s="52"/>
      <c r="F9" s="52"/>
      <c r="G9" s="53">
        <v>38</v>
      </c>
      <c r="J9" s="5" t="s">
        <v>599</v>
      </c>
      <c r="L9" t="s">
        <v>600</v>
      </c>
    </row>
    <row r="10" spans="1:32" x14ac:dyDescent="0.3">
      <c r="D10" s="41"/>
      <c r="E10" s="41"/>
      <c r="F10" s="41"/>
    </row>
    <row r="11" spans="1:32" ht="16.2" x14ac:dyDescent="0.3">
      <c r="A11" s="38" t="s">
        <v>389</v>
      </c>
      <c r="B11" s="38" t="s">
        <v>449</v>
      </c>
      <c r="C11" s="39" t="s">
        <v>388</v>
      </c>
      <c r="D11" s="39" t="s">
        <v>277</v>
      </c>
      <c r="E11" s="39" t="s">
        <v>465</v>
      </c>
      <c r="F11" s="39" t="s">
        <v>602</v>
      </c>
      <c r="G11" s="39" t="s">
        <v>612</v>
      </c>
      <c r="H11" s="39" t="s">
        <v>613</v>
      </c>
      <c r="I11" t="s">
        <v>295</v>
      </c>
      <c r="J11" t="s">
        <v>408</v>
      </c>
      <c r="K11" t="s">
        <v>430</v>
      </c>
      <c r="L11" t="s">
        <v>437</v>
      </c>
      <c r="M11" t="s">
        <v>587</v>
      </c>
      <c r="N11" t="s">
        <v>443</v>
      </c>
      <c r="O11" t="s">
        <v>444</v>
      </c>
      <c r="P11" t="s">
        <v>447</v>
      </c>
      <c r="Q11" s="57" t="s">
        <v>586</v>
      </c>
      <c r="R11" t="s">
        <v>598</v>
      </c>
      <c r="S11" t="s">
        <v>603</v>
      </c>
      <c r="T11" t="s">
        <v>611</v>
      </c>
      <c r="U11" t="s">
        <v>415</v>
      </c>
      <c r="V11" t="s">
        <v>421</v>
      </c>
      <c r="W11" t="s">
        <v>422</v>
      </c>
      <c r="X11" t="s">
        <v>423</v>
      </c>
      <c r="Y11" t="s">
        <v>424</v>
      </c>
      <c r="Z11" t="s">
        <v>416</v>
      </c>
      <c r="AA11" t="s">
        <v>417</v>
      </c>
    </row>
    <row r="12" spans="1:32" x14ac:dyDescent="0.3">
      <c r="A12" s="38">
        <v>7</v>
      </c>
      <c r="C12" s="39" t="s">
        <v>153</v>
      </c>
      <c r="D12" s="39" t="s">
        <v>278</v>
      </c>
      <c r="E12">
        <v>1992.81733618</v>
      </c>
      <c r="F12">
        <f>Table2[[#This Row],[Area (km2)]]*100</f>
        <v>199281.733618</v>
      </c>
      <c r="G12">
        <f t="shared" ref="G12:G43" si="0">0.928574414031877^2</f>
        <v>0.86225044239464377</v>
      </c>
      <c r="H12">
        <f>Table2[[#This Row],[Area (km2)]]/Table2[[#This Row],[Pixel Area (km^2)]]</f>
        <v>2311.181575790838</v>
      </c>
      <c r="I12">
        <f>SUMIF(Table1[No], A12, Table1[Total 2015])</f>
        <v>13538251</v>
      </c>
      <c r="J12">
        <f>SUMIF(Table1[No], A12, Table1[Total 2016])</f>
        <v>14347044</v>
      </c>
      <c r="K12">
        <f>SUMIF(Table1[No], A12, Table1[Total-2016])</f>
        <v>11767315.07</v>
      </c>
      <c r="L12">
        <f>Table2[[#This Row],[Total-2016]]</f>
        <v>11767315.07</v>
      </c>
      <c r="M12">
        <f>Table2[[#This Row],[Final Annual]]/365</f>
        <v>32239.219369863014</v>
      </c>
      <c r="N12">
        <f>Table2[[#This Row],[Final Annual]]*$G$6</f>
        <v>458925287.73000002</v>
      </c>
      <c r="O12">
        <f>Table2[[#This Row],[Final Annual]]*$G$7</f>
        <v>294182876.75</v>
      </c>
      <c r="P12" s="54">
        <f>Table2[[#This Row],[Revenue]]-Table2[[#This Row],[Cost]]</f>
        <v>164742410.98000002</v>
      </c>
      <c r="Q12" s="57">
        <f>Table2[[#This Row],[Final Annual]]/Table2[[#This Row],[Area (km2)]]</f>
        <v>5904.8638610082453</v>
      </c>
      <c r="R12" s="54">
        <f>Table2[[#This Row],[Profit]]/Table2[[#This Row],[Area (km2)]]</f>
        <v>82668.094054115441</v>
      </c>
      <c r="S12" s="54">
        <f>Table2[[#This Row],[Profit]]/Table2[[#This Row],[Area (ha)]]</f>
        <v>826.68094054115431</v>
      </c>
      <c r="T12" s="54">
        <f>Table2[[#This Row],[Profit]]/Table2[[#This Row],[Pixels]]</f>
        <v>71280.600670083062</v>
      </c>
    </row>
    <row r="13" spans="1:32" x14ac:dyDescent="0.3">
      <c r="A13" s="38">
        <v>10</v>
      </c>
      <c r="C13" s="39" t="s">
        <v>157</v>
      </c>
      <c r="D13" s="39" t="s">
        <v>281</v>
      </c>
      <c r="E13">
        <v>1988.5105023399999</v>
      </c>
      <c r="F13">
        <f>Table2[[#This Row],[Area (km2)]]*100</f>
        <v>198851.05023399999</v>
      </c>
      <c r="G13">
        <f t="shared" si="0"/>
        <v>0.86225044239464377</v>
      </c>
      <c r="H13">
        <f>Table2[[#This Row],[Area (km2)]]/Table2[[#This Row],[Pixel Area (km^2)]]</f>
        <v>2306.1867000236084</v>
      </c>
      <c r="I13">
        <f>SUMIF(Table1[No], A13, Table1[Total 2015])</f>
        <v>4123349</v>
      </c>
      <c r="J13">
        <f>SUMIF(Table1[No], A13, Table1[Total 2016])</f>
        <v>0</v>
      </c>
      <c r="K13">
        <v>3897273</v>
      </c>
      <c r="L13">
        <f>Table2[[#This Row],[Total-2016]]</f>
        <v>3897273</v>
      </c>
      <c r="M13">
        <f>Table2[[#This Row],[Final Annual]]/365</f>
        <v>10677.460273972603</v>
      </c>
      <c r="N13">
        <f>Table2[[#This Row],[Final Annual]]*$G$6</f>
        <v>151993647</v>
      </c>
      <c r="O13">
        <f>Table2[[#This Row],[Final Annual]]*$G$7</f>
        <v>97431825</v>
      </c>
      <c r="P13" s="54">
        <f>Table2[[#This Row],[Revenue]]-Table2[[#This Row],[Cost]]</f>
        <v>54561822</v>
      </c>
      <c r="Q13" s="57">
        <f>Table2[[#This Row],[Final Annual]]/Table2[[#This Row],[Area (km2)]]</f>
        <v>1959.8956080009859</v>
      </c>
      <c r="R13" s="54">
        <f>Table2[[#This Row],[Profit]]/Table2[[#This Row],[Area (km2)]]</f>
        <v>27438.538512013802</v>
      </c>
      <c r="S13" s="54">
        <f>Table2[[#This Row],[Profit]]/Table2[[#This Row],[Area (ha)]]</f>
        <v>274.38538512013804</v>
      </c>
      <c r="T13" s="54">
        <f>Table2[[#This Row],[Profit]]/Table2[[#This Row],[Pixels]]</f>
        <v>23658.891970646371</v>
      </c>
      <c r="V13">
        <v>12610</v>
      </c>
      <c r="W13">
        <v>12938</v>
      </c>
      <c r="X13">
        <v>12720</v>
      </c>
      <c r="Y13">
        <v>13196</v>
      </c>
      <c r="Z13">
        <v>13305</v>
      </c>
      <c r="AA13">
        <v>13313</v>
      </c>
    </row>
    <row r="14" spans="1:32" s="69" customFormat="1" x14ac:dyDescent="0.3">
      <c r="A14" s="67">
        <v>11</v>
      </c>
      <c r="B14" s="67" t="s">
        <v>450</v>
      </c>
      <c r="C14" s="68" t="s">
        <v>237</v>
      </c>
      <c r="D14" s="68" t="s">
        <v>278</v>
      </c>
      <c r="E14" s="69">
        <v>2006.76698848</v>
      </c>
      <c r="F14" s="69">
        <f>Table2[[#This Row],[Area (km2)]]*100</f>
        <v>200676.698848</v>
      </c>
      <c r="G14" s="69">
        <f t="shared" si="0"/>
        <v>0.86225044239464377</v>
      </c>
      <c r="H14" s="69">
        <f>Table2[[#This Row],[Area (km2)]]/Table2[[#This Row],[Pixel Area (km^2)]]</f>
        <v>2327.3597667364511</v>
      </c>
      <c r="I14" s="69">
        <f>SUMIF(Table1[No], A14, Table1[Total 2015])</f>
        <v>0</v>
      </c>
      <c r="J14" s="69">
        <f>SUMIF(Table1[No], A14, Table1[Total 2016])</f>
        <v>0</v>
      </c>
      <c r="K14" s="69">
        <f>SUMIF(Table1[No], A14, Table1[Total-2016])</f>
        <v>0</v>
      </c>
      <c r="L14" s="69">
        <f>Table2[[#This Row],[Total-2016]]</f>
        <v>0</v>
      </c>
      <c r="M14" s="69">
        <f>Table2[[#This Row],[Final Annual]]/365</f>
        <v>0</v>
      </c>
      <c r="N14" s="69">
        <f>Table2[[#This Row],[Final Annual]]*$G$6</f>
        <v>0</v>
      </c>
      <c r="O14" s="69">
        <f>Table2[[#This Row],[Final Annual]]*$G$7</f>
        <v>0</v>
      </c>
      <c r="P14" s="70">
        <f>Table2[[#This Row],[$/km2]]*Table2[[#This Row],[Area (km2)]]</f>
        <v>4013533.9769600001</v>
      </c>
      <c r="Q14" s="71">
        <f>Table2[[#This Row],[Final Annual]]/Table2[[#This Row],[Area (km2)]]</f>
        <v>0</v>
      </c>
      <c r="R14" s="70">
        <v>2000</v>
      </c>
      <c r="S14" s="70">
        <f>Table2[[#This Row],[Profit]]/Table2[[#This Row],[Area (ha)]]</f>
        <v>20</v>
      </c>
      <c r="T14" s="70">
        <f>Table2[[#This Row],[Profit]]/Table2[[#This Row],[Pixels]]</f>
        <v>1724.5008847892877</v>
      </c>
    </row>
    <row r="15" spans="1:32" x14ac:dyDescent="0.3">
      <c r="A15" s="38">
        <v>12</v>
      </c>
      <c r="C15" s="39" t="s">
        <v>224</v>
      </c>
      <c r="D15" s="39" t="s">
        <v>278</v>
      </c>
      <c r="E15">
        <v>1811.5147748100001</v>
      </c>
      <c r="F15">
        <f>Table2[[#This Row],[Area (km2)]]*100</f>
        <v>181151.47748100001</v>
      </c>
      <c r="G15">
        <f t="shared" si="0"/>
        <v>0.86225044239464377</v>
      </c>
      <c r="H15">
        <f>Table2[[#This Row],[Area (km2)]]/Table2[[#This Row],[Pixel Area (km^2)]]</f>
        <v>2100.9148685143696</v>
      </c>
      <c r="I15">
        <f>SUMIF(Table1[No], A15, Table1[Total 2015])</f>
        <v>13018953</v>
      </c>
      <c r="J15">
        <f>SUMIF(Table1[No], A15, Table1[Total 2016])</f>
        <v>11252264</v>
      </c>
      <c r="K15">
        <f>SUMIF(Table1[No], A15, Table1[Total-2016])</f>
        <v>14399790</v>
      </c>
      <c r="L15">
        <f>Table2[[#This Row],[Total-2016]]</f>
        <v>14399790</v>
      </c>
      <c r="M15">
        <f>Table2[[#This Row],[Final Annual]]/365</f>
        <v>39451.479452054795</v>
      </c>
      <c r="N15">
        <f>Table2[[#This Row],[Final Annual]]*$G$6</f>
        <v>561591810</v>
      </c>
      <c r="O15">
        <f>Table2[[#This Row],[Final Annual]]*$G$7</f>
        <v>359994750</v>
      </c>
      <c r="P15" s="54">
        <f>Table2[[#This Row],[Revenue]]-Table2[[#This Row],[Cost]]</f>
        <v>201597060</v>
      </c>
      <c r="Q15" s="57">
        <f>Table2[[#This Row],[Final Annual]]/Table2[[#This Row],[Area (km2)]]</f>
        <v>7949.0325998088065</v>
      </c>
      <c r="R15" s="54">
        <f>Table2[[#This Row],[Profit]]/Table2[[#This Row],[Area (km2)]]</f>
        <v>111286.4563973233</v>
      </c>
      <c r="S15" s="54">
        <f>Table2[[#This Row],[Profit]]/Table2[[#This Row],[Area (ha)]]</f>
        <v>1112.8645639732329</v>
      </c>
      <c r="T15" s="54">
        <f>Table2[[#This Row],[Profit]]/Table2[[#This Row],[Pixels]]</f>
        <v>95956.796261124255</v>
      </c>
    </row>
    <row r="16" spans="1:32" x14ac:dyDescent="0.3">
      <c r="A16" s="38">
        <v>14</v>
      </c>
      <c r="C16" s="39" t="s">
        <v>196</v>
      </c>
      <c r="D16" s="39" t="s">
        <v>282</v>
      </c>
      <c r="E16">
        <v>2010.7986381000001</v>
      </c>
      <c r="F16">
        <f>Table2[[#This Row],[Area (km2)]]*100</f>
        <v>201079.86381000001</v>
      </c>
      <c r="G16">
        <f t="shared" si="0"/>
        <v>0.86225044239464377</v>
      </c>
      <c r="H16">
        <f>Table2[[#This Row],[Area (km2)]]/Table2[[#This Row],[Pixel Area (km^2)]]</f>
        <v>2332.0354959930269</v>
      </c>
      <c r="I16">
        <f>SUMIF(Table1[No], A16, Table1[Total 2015])</f>
        <v>1328551</v>
      </c>
      <c r="J16">
        <f>SUMIF(Table1[No], A16, Table1[Total 2016])</f>
        <v>0</v>
      </c>
      <c r="K16" s="37">
        <v>1181512</v>
      </c>
      <c r="L16" s="37">
        <f>Table2[[#This Row],[Total-2016]]</f>
        <v>1181512</v>
      </c>
      <c r="M16" s="37">
        <f>Table2[[#This Row],[Final Annual]]/365</f>
        <v>3237.019178082192</v>
      </c>
      <c r="N16">
        <f>Table2[[#This Row],[Final Annual]]*$G$6</f>
        <v>46078968</v>
      </c>
      <c r="O16">
        <f>Table2[[#This Row],[Final Annual]]*$G$7</f>
        <v>29537800</v>
      </c>
      <c r="P16" s="54">
        <f>Table2[[#This Row],[Revenue]]-Table2[[#This Row],[Cost]]</f>
        <v>16541168</v>
      </c>
      <c r="Q16" s="57">
        <f>Table2[[#This Row],[Final Annual]]/Table2[[#This Row],[Area (km2)]]</f>
        <v>587.58344948771628</v>
      </c>
      <c r="R16" s="54">
        <f>Table2[[#This Row],[Profit]]/Table2[[#This Row],[Area (km2)]]</f>
        <v>8226.1682928280279</v>
      </c>
      <c r="S16" s="54">
        <f>Table2[[#This Row],[Profit]]/Table2[[#This Row],[Area (ha)]]</f>
        <v>82.261682928280266</v>
      </c>
      <c r="T16" s="54">
        <f>Table2[[#This Row],[Profit]]/Table2[[#This Row],[Pixels]]</f>
        <v>7093.0172497037584</v>
      </c>
      <c r="V16" s="37">
        <v>3127</v>
      </c>
      <c r="W16" s="37">
        <v>3147</v>
      </c>
      <c r="X16" s="37"/>
      <c r="Y16" s="37"/>
      <c r="Z16" s="37">
        <v>3155</v>
      </c>
      <c r="AA16" s="37">
        <v>3155</v>
      </c>
      <c r="AC16">
        <f>I16+I19</f>
        <v>3875000</v>
      </c>
      <c r="AD16">
        <f>I16/AC16</f>
        <v>0.34285187096774195</v>
      </c>
      <c r="AE16">
        <f>9121*$AD16</f>
        <v>3127.1519150967742</v>
      </c>
      <c r="AF16">
        <f>9180*$AD16</f>
        <v>3147.380175483871</v>
      </c>
    </row>
    <row r="17" spans="1:32" x14ac:dyDescent="0.3">
      <c r="A17" s="38">
        <v>15</v>
      </c>
      <c r="C17" s="39" t="s">
        <v>150</v>
      </c>
      <c r="D17" s="39" t="s">
        <v>278</v>
      </c>
      <c r="E17">
        <v>1510.7354774600001</v>
      </c>
      <c r="F17">
        <f>Table2[[#This Row],[Area (km2)]]*100</f>
        <v>151073.547746</v>
      </c>
      <c r="G17">
        <f t="shared" si="0"/>
        <v>0.86225044239464377</v>
      </c>
      <c r="H17">
        <f>Table2[[#This Row],[Area (km2)]]/Table2[[#This Row],[Pixel Area (km^2)]]</f>
        <v>1752.0843170162746</v>
      </c>
      <c r="I17">
        <f>SUMIF(Table1[No], A17, Table1[Total 2015])</f>
        <v>10888225</v>
      </c>
      <c r="J17">
        <f>SUMIF(Table1[No], A17, Table1[Total 2016])</f>
        <v>10768208</v>
      </c>
      <c r="K17">
        <f>SUMIF(Table1[No], A17, Table1[Total-2016])</f>
        <v>9566401.7800000012</v>
      </c>
      <c r="L17">
        <f>Table2[[#This Row],[Total-2016]]</f>
        <v>9566401.7800000012</v>
      </c>
      <c r="M17">
        <f>Table2[[#This Row],[Final Annual]]/365</f>
        <v>26209.319945205483</v>
      </c>
      <c r="N17">
        <f>Table2[[#This Row],[Final Annual]]*$G$6</f>
        <v>373089669.42000008</v>
      </c>
      <c r="O17">
        <f>Table2[[#This Row],[Final Annual]]*$G$7</f>
        <v>239160044.50000003</v>
      </c>
      <c r="P17" s="54">
        <f>Table2[[#This Row],[Revenue]]-Table2[[#This Row],[Cost]]</f>
        <v>133929624.92000005</v>
      </c>
      <c r="Q17" s="57">
        <f>Table2[[#This Row],[Final Annual]]/Table2[[#This Row],[Area (km2)]]</f>
        <v>6332.2811456602549</v>
      </c>
      <c r="R17" s="54">
        <f>Table2[[#This Row],[Profit]]/Table2[[#This Row],[Area (km2)]]</f>
        <v>88651.936039243592</v>
      </c>
      <c r="S17" s="54">
        <f>Table2[[#This Row],[Profit]]/Table2[[#This Row],[Area (ha)]]</f>
        <v>886.51936039243594</v>
      </c>
      <c r="T17" s="54">
        <f>Table2[[#This Row],[Profit]]/Table2[[#This Row],[Pixels]]</f>
        <v>76440.171068979442</v>
      </c>
    </row>
    <row r="18" spans="1:32" x14ac:dyDescent="0.3">
      <c r="A18" s="38">
        <v>16</v>
      </c>
      <c r="C18" s="39" t="s">
        <v>190</v>
      </c>
      <c r="D18" s="39" t="s">
        <v>283</v>
      </c>
      <c r="E18">
        <v>1326.46608474</v>
      </c>
      <c r="F18">
        <f>Table2[[#This Row],[Area (km2)]]*100</f>
        <v>132646.60847400001</v>
      </c>
      <c r="G18">
        <f t="shared" si="0"/>
        <v>0.86225044239464377</v>
      </c>
      <c r="H18">
        <f>Table2[[#This Row],[Area (km2)]]/Table2[[#This Row],[Pixel Area (km^2)]]</f>
        <v>1538.3768097075551</v>
      </c>
      <c r="I18">
        <f>SUMIF(Table1[No], A18, Table1[Total 2015])</f>
        <v>8924103</v>
      </c>
      <c r="J18">
        <f>SUMIF(Table1[No], A18, Table1[Total 2016])</f>
        <v>0</v>
      </c>
      <c r="K18" s="37">
        <v>7867805</v>
      </c>
      <c r="L18" s="37">
        <f>Table2[[#This Row],[Total-2016]]</f>
        <v>7867805</v>
      </c>
      <c r="M18" s="37">
        <f>Table2[[#This Row],[Final Annual]]/365</f>
        <v>21555.630136986303</v>
      </c>
      <c r="N18">
        <f>Table2[[#This Row],[Final Annual]]*$G$6</f>
        <v>306844395</v>
      </c>
      <c r="O18">
        <f>Table2[[#This Row],[Final Annual]]*$G$7</f>
        <v>196695125</v>
      </c>
      <c r="P18" s="54">
        <f>Table2[[#This Row],[Revenue]]-Table2[[#This Row],[Cost]]</f>
        <v>110149270</v>
      </c>
      <c r="Q18" s="57">
        <f>Table2[[#This Row],[Final Annual]]/Table2[[#This Row],[Area (km2)]]</f>
        <v>5931.4030645134544</v>
      </c>
      <c r="R18" s="54">
        <f>Table2[[#This Row],[Profit]]/Table2[[#This Row],[Area (km2)]]</f>
        <v>83039.64290318836</v>
      </c>
      <c r="S18" s="54">
        <f>Table2[[#This Row],[Profit]]/Table2[[#This Row],[Area (ha)]]</f>
        <v>830.3964290318836</v>
      </c>
      <c r="T18" s="54">
        <f>Table2[[#This Row],[Profit]]/Table2[[#This Row],[Pixels]]</f>
        <v>71600.968829567399</v>
      </c>
      <c r="V18" s="37">
        <v>18420</v>
      </c>
      <c r="W18" s="37">
        <v>17832</v>
      </c>
      <c r="X18" s="37"/>
      <c r="Y18" s="37"/>
      <c r="Z18" s="37">
        <v>18289</v>
      </c>
      <c r="AA18" s="37">
        <v>18290</v>
      </c>
      <c r="AC18">
        <f>I18+I50</f>
        <v>10369102</v>
      </c>
      <c r="AD18">
        <f>I18/AC$18</f>
        <v>0.86064376645152108</v>
      </c>
      <c r="AE18">
        <f>21403*$AD18</f>
        <v>18420.358533361905</v>
      </c>
      <c r="AF18">
        <f>20719*AD18</f>
        <v>17831.678197109064</v>
      </c>
    </row>
    <row r="19" spans="1:32" x14ac:dyDescent="0.3">
      <c r="A19" s="38">
        <v>17</v>
      </c>
      <c r="C19" s="39" t="s">
        <v>197</v>
      </c>
      <c r="D19" s="39" t="s">
        <v>282</v>
      </c>
      <c r="E19">
        <v>1861.83278427</v>
      </c>
      <c r="F19">
        <f>Table2[[#This Row],[Area (km2)]]*100</f>
        <v>186183.27842700001</v>
      </c>
      <c r="G19">
        <f t="shared" si="0"/>
        <v>0.86225044239464377</v>
      </c>
      <c r="H19">
        <f>Table2[[#This Row],[Area (km2)]]/Table2[[#This Row],[Pixel Area (km^2)]]</f>
        <v>2159.2714746533666</v>
      </c>
      <c r="I19">
        <f>SUMIF(Table1[No], A19, Table1[Total 2015])</f>
        <v>2546449</v>
      </c>
      <c r="J19">
        <f>SUMIF(Table1[No], A19, Table1[Total 2016])</f>
        <v>0</v>
      </c>
      <c r="K19" s="37">
        <v>2264615</v>
      </c>
      <c r="L19" s="37">
        <f>Table2[[#This Row],[Total-2016]]</f>
        <v>2264615</v>
      </c>
      <c r="M19" s="37">
        <f>Table2[[#This Row],[Final Annual]]/365</f>
        <v>6204.4246575342468</v>
      </c>
      <c r="N19">
        <f>Table2[[#This Row],[Final Annual]]*$G$6</f>
        <v>88319985</v>
      </c>
      <c r="O19">
        <f>Table2[[#This Row],[Final Annual]]*$G$7</f>
        <v>56615375</v>
      </c>
      <c r="P19" s="54">
        <f>Table2[[#This Row],[Revenue]]-Table2[[#This Row],[Cost]]</f>
        <v>31704610</v>
      </c>
      <c r="Q19" s="57">
        <f>Table2[[#This Row],[Final Annual]]/Table2[[#This Row],[Area (km2)]]</f>
        <v>1216.3364074007998</v>
      </c>
      <c r="R19" s="54">
        <f>Table2[[#This Row],[Profit]]/Table2[[#This Row],[Area (km2)]]</f>
        <v>17028.709703611195</v>
      </c>
      <c r="S19" s="54">
        <f>Table2[[#This Row],[Profit]]/Table2[[#This Row],[Area (ha)]]</f>
        <v>170.28709703611196</v>
      </c>
      <c r="T19" s="54">
        <f>Table2[[#This Row],[Profit]]/Table2[[#This Row],[Pixels]]</f>
        <v>14683.012475348716</v>
      </c>
      <c r="V19" s="37">
        <v>5994</v>
      </c>
      <c r="W19" s="37">
        <v>6033</v>
      </c>
      <c r="X19" s="37"/>
      <c r="Y19" s="37"/>
      <c r="Z19" s="37">
        <v>6048</v>
      </c>
      <c r="AA19" s="37">
        <v>6048</v>
      </c>
      <c r="AD19">
        <f>I19/AC16</f>
        <v>0.65714812903225805</v>
      </c>
      <c r="AE19">
        <f>9121*$AD19</f>
        <v>5993.8480849032258</v>
      </c>
      <c r="AF19">
        <f>9180*$AD19</f>
        <v>6032.6198245161286</v>
      </c>
    </row>
    <row r="20" spans="1:32" x14ac:dyDescent="0.3">
      <c r="A20" s="38">
        <v>18</v>
      </c>
      <c r="C20" s="39" t="s">
        <v>152</v>
      </c>
      <c r="D20" s="39" t="s">
        <v>278</v>
      </c>
      <c r="E20">
        <v>1141.3748551599999</v>
      </c>
      <c r="F20">
        <f>Table2[[#This Row],[Area (km2)]]*100</f>
        <v>114137.48551599999</v>
      </c>
      <c r="G20">
        <f t="shared" si="0"/>
        <v>0.86225044239464377</v>
      </c>
      <c r="H20">
        <f>Table2[[#This Row],[Area (km2)]]/Table2[[#This Row],[Pixel Area (km^2)]]</f>
        <v>1323.716172287684</v>
      </c>
      <c r="I20">
        <f>SUMIF(Table1[No], A20, Table1[Total 2015])</f>
        <v>5534891</v>
      </c>
      <c r="J20">
        <f>SUMIF(Table1[No], A20, Table1[Total 2016])</f>
        <v>5119637</v>
      </c>
      <c r="K20">
        <f>SUMIF(Table1[No], A20, Table1[Total-2016])</f>
        <v>4136861.21</v>
      </c>
      <c r="L20">
        <f>Table2[[#This Row],[Total-2016]]</f>
        <v>4136861.21</v>
      </c>
      <c r="M20">
        <f>Table2[[#This Row],[Final Annual]]/365</f>
        <v>11333.866328767122</v>
      </c>
      <c r="N20">
        <f>Table2[[#This Row],[Final Annual]]*$G$6</f>
        <v>161337587.19</v>
      </c>
      <c r="O20">
        <f>Table2[[#This Row],[Final Annual]]*$G$7</f>
        <v>103421530.25</v>
      </c>
      <c r="P20" s="54">
        <f>Table2[[#This Row],[Revenue]]-Table2[[#This Row],[Cost]]</f>
        <v>57916056.939999998</v>
      </c>
      <c r="Q20" s="57">
        <f>Table2[[#This Row],[Final Annual]]/Table2[[#This Row],[Area (km2)]]</f>
        <v>3624.454482502234</v>
      </c>
      <c r="R20" s="54">
        <f>Table2[[#This Row],[Profit]]/Table2[[#This Row],[Area (km2)]]</f>
        <v>50742.362755031274</v>
      </c>
      <c r="S20" s="54">
        <f>Table2[[#This Row],[Profit]]/Table2[[#This Row],[Area (ha)]]</f>
        <v>507.4236275503128</v>
      </c>
      <c r="T20" s="54">
        <f>Table2[[#This Row],[Profit]]/Table2[[#This Row],[Pixels]]</f>
        <v>43752.624733675206</v>
      </c>
    </row>
    <row r="21" spans="1:32" s="74" customFormat="1" x14ac:dyDescent="0.3">
      <c r="A21" s="72">
        <v>20</v>
      </c>
      <c r="B21" s="72" t="s">
        <v>597</v>
      </c>
      <c r="C21" s="73" t="s">
        <v>592</v>
      </c>
      <c r="D21" s="73" t="s">
        <v>4</v>
      </c>
      <c r="E21" s="74">
        <v>1090.60892745</v>
      </c>
      <c r="F21" s="74">
        <f>Table2[[#This Row],[Area (km2)]]*100</f>
        <v>109060.892745</v>
      </c>
      <c r="G21" s="74">
        <f t="shared" si="0"/>
        <v>0.86225044239464377</v>
      </c>
      <c r="H21" s="74">
        <f>Table2[[#This Row],[Area (km2)]]/Table2[[#This Row],[Pixel Area (km^2)]]</f>
        <v>1264.8400903351915</v>
      </c>
      <c r="I21" s="74">
        <f>SUMIF(Table1[No], A21, Table1[Total 2015])</f>
        <v>0</v>
      </c>
      <c r="J21" s="74">
        <f>SUMIF(Table1[No], A21, Table1[Total 2016])</f>
        <v>0</v>
      </c>
      <c r="K21" s="74">
        <f>SUMIF(Table1[No], A21, Table1[Total-2016])</f>
        <v>0</v>
      </c>
      <c r="L21" s="74">
        <f>60000*365</f>
        <v>21900000</v>
      </c>
      <c r="M21" s="74">
        <f>Table2[[#This Row],[Final Annual]]/365</f>
        <v>60000</v>
      </c>
      <c r="N21" s="74">
        <f>Table2[[#This Row],[Final Annual]]*$G$6</f>
        <v>854100000</v>
      </c>
      <c r="O21" s="74">
        <f>Table2[[#This Row],[Final Annual]]*$G$9</f>
        <v>832200000</v>
      </c>
      <c r="P21" s="75">
        <f>Table2[[#This Row],[Revenue]]-Table2[[#This Row],[Cost]]</f>
        <v>21900000</v>
      </c>
      <c r="Q21" s="76">
        <f>Table2[[#This Row],[Final Annual]]/Table2[[#This Row],[Area (km2)]]</f>
        <v>20080.525153232826</v>
      </c>
      <c r="R21" s="75">
        <f>Table2[[#This Row],[Profit]]/Table2[[#This Row],[Area (km2)]]</f>
        <v>20080.525153232826</v>
      </c>
      <c r="S21" s="75">
        <f>Table2[[#This Row],[Profit]]/Table2[[#This Row],[Area (ha)]]</f>
        <v>200.80525153232827</v>
      </c>
      <c r="T21" s="75">
        <f>Table2[[#This Row],[Profit]]/Table2[[#This Row],[Pixels]]</f>
        <v>17314.441696891776</v>
      </c>
    </row>
    <row r="22" spans="1:32" x14ac:dyDescent="0.3">
      <c r="A22" s="38">
        <v>21</v>
      </c>
      <c r="C22" s="39" t="s">
        <v>108</v>
      </c>
      <c r="D22" s="39" t="s">
        <v>278</v>
      </c>
      <c r="E22">
        <v>1604.2354271300001</v>
      </c>
      <c r="F22">
        <f>Table2[[#This Row],[Area (km2)]]*100</f>
        <v>160423.542713</v>
      </c>
      <c r="G22">
        <f t="shared" si="0"/>
        <v>0.86225044239464377</v>
      </c>
      <c r="H22">
        <f>Table2[[#This Row],[Area (km2)]]/Table2[[#This Row],[Pixel Area (km^2)]]</f>
        <v>1860.5214311919794</v>
      </c>
      <c r="I22">
        <f>SUMIF(Table1[No], A22, Table1[Total 2015])</f>
        <v>2282716</v>
      </c>
      <c r="J22">
        <f>SUMIF(Table1[No], A22, Table1[Total 2016])</f>
        <v>0</v>
      </c>
      <c r="K22">
        <f>SUMIF(Table1[No], A22, Table1[Total-2016])</f>
        <v>20703442.25</v>
      </c>
      <c r="L22">
        <f>Table2[[#This Row],[Total-2016]]</f>
        <v>20703442.25</v>
      </c>
      <c r="M22">
        <f>Table2[[#This Row],[Final Annual]]/365</f>
        <v>56721.759589041096</v>
      </c>
      <c r="N22">
        <f>Table2[[#This Row],[Final Annual]]*$G$6</f>
        <v>807434247.75</v>
      </c>
      <c r="O22">
        <f>Table2[[#This Row],[Final Annual]]*$G$7</f>
        <v>517586056.25</v>
      </c>
      <c r="P22" s="54">
        <f>Table2[[#This Row],[Revenue]]-Table2[[#This Row],[Cost]]</f>
        <v>289848191.5</v>
      </c>
      <c r="Q22" s="57">
        <f>Table2[[#This Row],[Final Annual]]/Table2[[#This Row],[Area (km2)]]</f>
        <v>12905.488745525807</v>
      </c>
      <c r="R22" s="54">
        <f>Table2[[#This Row],[Profit]]/Table2[[#This Row],[Area (km2)]]</f>
        <v>180676.84243736128</v>
      </c>
      <c r="S22" s="54">
        <f>Table2[[#This Row],[Profit]]/Table2[[#This Row],[Area (ha)]]</f>
        <v>1806.7684243736128</v>
      </c>
      <c r="T22" s="54">
        <f>Table2[[#This Row],[Profit]]/Table2[[#This Row],[Pixels]]</f>
        <v>155788.68732208211</v>
      </c>
    </row>
    <row r="23" spans="1:32" x14ac:dyDescent="0.3">
      <c r="A23" s="61">
        <v>22</v>
      </c>
      <c r="B23" s="61" t="s">
        <v>451</v>
      </c>
      <c r="C23" s="62" t="s">
        <v>462</v>
      </c>
      <c r="D23" s="62" t="s">
        <v>4</v>
      </c>
      <c r="E23" s="63">
        <v>1753.5138934300001</v>
      </c>
      <c r="F23" s="63">
        <f>Table2[[#This Row],[Area (km2)]]*100</f>
        <v>175351.38934300002</v>
      </c>
      <c r="G23" s="63">
        <f t="shared" si="0"/>
        <v>0.86225044239464377</v>
      </c>
      <c r="H23" s="63">
        <f>Table2[[#This Row],[Area (km2)]]/Table2[[#This Row],[Pixel Area (km^2)]]</f>
        <v>2033.6480066744152</v>
      </c>
      <c r="I23" s="63">
        <f>SUMIF(Table1[No], A23, Table1[Total 2015])</f>
        <v>0</v>
      </c>
      <c r="J23" s="63">
        <f>SUMIF(Table1[No], A23, Table1[Total 2016])</f>
        <v>0</v>
      </c>
      <c r="K23" s="63">
        <f>SUMIF(Table1[No], A23, Table1[Total-2016])</f>
        <v>0</v>
      </c>
      <c r="L23" s="63">
        <f>Table2[[#This Row],[Prod/Area]]*Table2[[#This Row],[Area (km2)]]</f>
        <v>912954.23904732522</v>
      </c>
      <c r="M23" s="63">
        <f>Table2[[#This Row],[Final Annual]]/365</f>
        <v>2501.2444905406169</v>
      </c>
      <c r="N23" s="63">
        <f>Table2[[#This Row],[Final Annual]]*$G$6</f>
        <v>35605215.322845683</v>
      </c>
      <c r="O23" s="63">
        <f>Table2[[#This Row],[Final Annual]]*$G$8</f>
        <v>25562718.693325106</v>
      </c>
      <c r="P23" s="64">
        <f>Table2[[#This Row],[Revenue]]-Table2[[#This Row],[Cost]]</f>
        <v>10042496.629520576</v>
      </c>
      <c r="Q23" s="65">
        <f>$H$74</f>
        <v>520.64271772692985</v>
      </c>
      <c r="R23" s="64">
        <f>Table2[[#This Row],[Profit]]/Table2[[#This Row],[Area (km2)]]</f>
        <v>5727.069894996227</v>
      </c>
      <c r="S23" s="64">
        <f>Table2[[#This Row],[Profit]]/Table2[[#This Row],[Area (ha)]]</f>
        <v>57.270698949962274</v>
      </c>
      <c r="T23" s="64">
        <f>Table2[[#This Row],[Profit]]/Table2[[#This Row],[Pixels]]</f>
        <v>4938.168550585543</v>
      </c>
      <c r="U23" s="63"/>
      <c r="V23" s="63"/>
      <c r="W23" s="63"/>
      <c r="X23" s="63"/>
      <c r="Y23" s="63"/>
      <c r="Z23" s="63"/>
      <c r="AA23" s="63"/>
    </row>
    <row r="24" spans="1:32" x14ac:dyDescent="0.3">
      <c r="A24" s="61">
        <v>28</v>
      </c>
      <c r="B24" s="61" t="s">
        <v>451</v>
      </c>
      <c r="C24" s="62" t="s">
        <v>284</v>
      </c>
      <c r="D24" s="62" t="s">
        <v>285</v>
      </c>
      <c r="E24" s="63">
        <v>1753.07426154</v>
      </c>
      <c r="F24" s="63">
        <f>Table2[[#This Row],[Area (km2)]]*100</f>
        <v>175307.42615399999</v>
      </c>
      <c r="G24" s="63">
        <f t="shared" si="0"/>
        <v>0.86225044239464377</v>
      </c>
      <c r="H24" s="63">
        <f>Table2[[#This Row],[Area (km2)]]/Table2[[#This Row],[Pixel Area (km^2)]]</f>
        <v>2033.1381410154554</v>
      </c>
      <c r="I24" s="63">
        <f>SUMIF(Table1[No], A24, Table1[Total 2015])</f>
        <v>0</v>
      </c>
      <c r="J24" s="63">
        <f>SUMIF(Table1[No], A24, Table1[Total 2016])</f>
        <v>0</v>
      </c>
      <c r="K24" s="63">
        <f>SUMIF(Table1[No], A24, Table1[Total-2016])</f>
        <v>0</v>
      </c>
      <c r="L24" s="63">
        <f>Table2[[#This Row],[Prod/Area]]*Table2[[#This Row],[Area (km2)]]</f>
        <v>912725.34790531616</v>
      </c>
      <c r="M24" s="63">
        <f>Table2[[#This Row],[Final Annual]]/365</f>
        <v>2500.617391521414</v>
      </c>
      <c r="N24" s="63">
        <f>Table2[[#This Row],[Final Annual]]*$G$6</f>
        <v>35596288.568307333</v>
      </c>
      <c r="O24" s="63">
        <f>Table2[[#This Row],[Final Annual]]*$G$8</f>
        <v>25556309.741348851</v>
      </c>
      <c r="P24" s="64">
        <f>Table2[[#This Row],[Revenue]]-Table2[[#This Row],[Cost]]</f>
        <v>10039978.826958481</v>
      </c>
      <c r="Q24" s="65">
        <f>$H$74</f>
        <v>520.64271772692985</v>
      </c>
      <c r="R24" s="64">
        <f>Table2[[#This Row],[Profit]]/Table2[[#This Row],[Area (km2)]]</f>
        <v>5727.0698949962298</v>
      </c>
      <c r="S24" s="64">
        <f>Table2[[#This Row],[Profit]]/Table2[[#This Row],[Area (ha)]]</f>
        <v>57.270698949962302</v>
      </c>
      <c r="T24" s="64">
        <f>Table2[[#This Row],[Profit]]/Table2[[#This Row],[Pixels]]</f>
        <v>4938.1685505855448</v>
      </c>
      <c r="U24" s="63"/>
      <c r="V24" s="63"/>
      <c r="W24" s="63"/>
      <c r="X24" s="63"/>
      <c r="Y24" s="63"/>
      <c r="Z24" s="63"/>
      <c r="AA24" s="63"/>
    </row>
    <row r="25" spans="1:32" x14ac:dyDescent="0.3">
      <c r="A25" s="61">
        <v>29</v>
      </c>
      <c r="B25" s="61" t="s">
        <v>451</v>
      </c>
      <c r="C25" s="62" t="s">
        <v>463</v>
      </c>
      <c r="D25" s="62" t="s">
        <v>4</v>
      </c>
      <c r="E25" s="63">
        <v>1684.8586582</v>
      </c>
      <c r="F25" s="63">
        <f>Table2[[#This Row],[Area (km2)]]*100</f>
        <v>168485.86582000001</v>
      </c>
      <c r="G25" s="63">
        <f t="shared" si="0"/>
        <v>0.86225044239464377</v>
      </c>
      <c r="H25" s="63">
        <f>Table2[[#This Row],[Area (km2)]]/Table2[[#This Row],[Pixel Area (km^2)]]</f>
        <v>1954.0246955638631</v>
      </c>
      <c r="I25" s="63">
        <f>SUMIF(Table1[No], A25, Table1[Total 2015])</f>
        <v>0</v>
      </c>
      <c r="J25" s="63">
        <f>SUMIF(Table1[No], A25, Table1[Total 2016])</f>
        <v>0</v>
      </c>
      <c r="K25" s="63">
        <f>SUMIF(Table1[No], A25, Table1[Total-2016])</f>
        <v>0</v>
      </c>
      <c r="L25" s="63">
        <f>Table2[[#This Row],[Prod/Area]]*Table2[[#This Row],[Area (km2)]]</f>
        <v>877209.39079099637</v>
      </c>
      <c r="M25" s="63">
        <f>Table2[[#This Row],[Final Annual]]/365</f>
        <v>2403.3133994273871</v>
      </c>
      <c r="N25" s="63">
        <f>Table2[[#This Row],[Final Annual]]*$G$6</f>
        <v>34211166.240848862</v>
      </c>
      <c r="O25" s="63">
        <f>Table2[[#This Row],[Final Annual]]*$G$8</f>
        <v>24561862.942147899</v>
      </c>
      <c r="P25" s="64">
        <f>Table2[[#This Row],[Revenue]]-Table2[[#This Row],[Cost]]</f>
        <v>9649303.2987009622</v>
      </c>
      <c r="Q25" s="65">
        <f>$H$74</f>
        <v>520.64271772692985</v>
      </c>
      <c r="R25" s="64">
        <f>Table2[[#This Row],[Profit]]/Table2[[#This Row],[Area (km2)]]</f>
        <v>5727.0698949962298</v>
      </c>
      <c r="S25" s="64">
        <f>Table2[[#This Row],[Profit]]/Table2[[#This Row],[Area (ha)]]</f>
        <v>57.270698949962295</v>
      </c>
      <c r="T25" s="64">
        <f>Table2[[#This Row],[Profit]]/Table2[[#This Row],[Pixels]]</f>
        <v>4938.1685505855448</v>
      </c>
      <c r="U25" s="63"/>
      <c r="V25" s="63"/>
      <c r="W25" s="63"/>
      <c r="X25" s="63"/>
      <c r="Y25" s="63"/>
      <c r="Z25" s="63"/>
      <c r="AA25" s="63"/>
    </row>
    <row r="26" spans="1:32" x14ac:dyDescent="0.3">
      <c r="A26" s="38">
        <v>31</v>
      </c>
      <c r="C26" s="39" t="s">
        <v>259</v>
      </c>
      <c r="D26" s="39" t="s">
        <v>278</v>
      </c>
      <c r="E26">
        <v>2015.52997052</v>
      </c>
      <c r="F26">
        <f>Table2[[#This Row],[Area (km2)]]*100</f>
        <v>201552.99705199999</v>
      </c>
      <c r="G26">
        <f t="shared" si="0"/>
        <v>0.86225044239464377</v>
      </c>
      <c r="H26">
        <f>Table2[[#This Row],[Area (km2)]]/Table2[[#This Row],[Pixel Area (km^2)]]</f>
        <v>2337.5226864743217</v>
      </c>
      <c r="I26">
        <f>SUMIF(Table1[No], A26, Table1[Total 2015])</f>
        <v>2531614</v>
      </c>
      <c r="J26">
        <f>SUMIF(Table1[No], A26, Table1[Total 2016])</f>
        <v>2980696</v>
      </c>
      <c r="K26">
        <f>SUMIF(Table1[No], A26, Table1[Total-2016])</f>
        <v>6111481.7199999997</v>
      </c>
      <c r="L26">
        <f>Table2[[#This Row],[Total-2016]]</f>
        <v>6111481.7199999997</v>
      </c>
      <c r="M26">
        <f>Table2[[#This Row],[Final Annual]]/365</f>
        <v>16743.785534246574</v>
      </c>
      <c r="N26">
        <f>Table2[[#This Row],[Final Annual]]*$G$6</f>
        <v>238347787.07999998</v>
      </c>
      <c r="O26">
        <f>Table2[[#This Row],[Final Annual]]*$G$7</f>
        <v>152787043</v>
      </c>
      <c r="P26" s="54">
        <f>Table2[[#This Row],[Revenue]]-Table2[[#This Row],[Cost]]</f>
        <v>85560744.079999983</v>
      </c>
      <c r="Q26" s="57">
        <f>Table2[[#This Row],[Final Annual]]/Table2[[#This Row],[Area (km2)]]</f>
        <v>3032.1959035038599</v>
      </c>
      <c r="R26" s="54">
        <f>Table2[[#This Row],[Profit]]/Table2[[#This Row],[Area (km2)]]</f>
        <v>42450.742649054031</v>
      </c>
      <c r="S26" s="54">
        <f>Table2[[#This Row],[Profit]]/Table2[[#This Row],[Area (ha)]]</f>
        <v>424.50742649054035</v>
      </c>
      <c r="T26" s="54">
        <f>Table2[[#This Row],[Profit]]/Table2[[#This Row],[Pixels]]</f>
        <v>36603.17162912801</v>
      </c>
    </row>
    <row r="27" spans="1:32" s="74" customFormat="1" x14ac:dyDescent="0.3">
      <c r="A27" s="72">
        <v>43</v>
      </c>
      <c r="B27" s="72"/>
      <c r="C27" s="73" t="s">
        <v>250</v>
      </c>
      <c r="D27" s="73" t="s">
        <v>278</v>
      </c>
      <c r="E27" s="60">
        <v>1935.2875486299999</v>
      </c>
      <c r="F27" s="60">
        <f>Table2[[#This Row],[Area (km2)]]*100</f>
        <v>193528.75486300001</v>
      </c>
      <c r="G27" s="60">
        <f t="shared" si="0"/>
        <v>0.86225044239464377</v>
      </c>
      <c r="H27" s="60">
        <f>Table2[[#This Row],[Area (km2)]]/Table2[[#This Row],[Pixel Area (km^2)]]</f>
        <v>2244.4610677790033</v>
      </c>
      <c r="I27" s="74">
        <f>SUMIF(Table1[No], A27, Table1[Total 2015])</f>
        <v>0</v>
      </c>
      <c r="J27" s="74">
        <f>SUMIF(Table1[No], A27, Table1[Total 2016])</f>
        <v>6266369</v>
      </c>
      <c r="K27" s="74">
        <f>SUMIF(Table1[No], A27, Table1[Total-2016])</f>
        <v>3058743.75</v>
      </c>
      <c r="L27" s="74">
        <v>83500000</v>
      </c>
      <c r="M27" s="74">
        <f>Table2[[#This Row],[Final Annual]]/365</f>
        <v>228767.12328767125</v>
      </c>
      <c r="N27" s="74">
        <f>Table2[[#This Row],[Final Annual]]*$G$6</f>
        <v>3256500000</v>
      </c>
      <c r="O27" s="74">
        <f>Table2[[#This Row],[Final Annual]]*$G$7</f>
        <v>2087500000</v>
      </c>
      <c r="P27" s="75">
        <f>Table2[[#This Row],[Revenue]]-Table2[[#This Row],[Cost]]</f>
        <v>1169000000</v>
      </c>
      <c r="Q27" s="76">
        <f>Table2[[#This Row],[Final Annual]]/Table2[[#This Row],[Area (km2)]]</f>
        <v>43146.043108224447</v>
      </c>
      <c r="R27" s="75">
        <f>Table2[[#This Row],[Profit]]/Table2[[#This Row],[Area (km2)]]</f>
        <v>604044.60351514234</v>
      </c>
      <c r="S27" s="75">
        <f>Table2[[#This Row],[Profit]]/Table2[[#This Row],[Area (ha)]]</f>
        <v>6040.4460351514226</v>
      </c>
      <c r="T27" s="75">
        <f>Table2[[#This Row],[Profit]]/Table2[[#This Row],[Pixels]]</f>
        <v>520837.72660702857</v>
      </c>
      <c r="U27" s="74">
        <v>17112</v>
      </c>
      <c r="V27" s="74">
        <v>49278</v>
      </c>
      <c r="W27" s="74">
        <v>49292</v>
      </c>
      <c r="X27" s="74">
        <v>49292</v>
      </c>
      <c r="Y27" s="74">
        <v>49244</v>
      </c>
      <c r="Z27" s="74">
        <v>51208</v>
      </c>
      <c r="AA27" s="74">
        <v>51002</v>
      </c>
      <c r="AC27" s="74">
        <f>365*Table2[[#This Row],[Daily 5/7/17]]</f>
        <v>18690920</v>
      </c>
    </row>
    <row r="28" spans="1:32" x14ac:dyDescent="0.3">
      <c r="A28" s="38">
        <v>44</v>
      </c>
      <c r="C28" s="39" t="s">
        <v>139</v>
      </c>
      <c r="D28" s="39" t="s">
        <v>278</v>
      </c>
      <c r="E28">
        <v>71.380492315799998</v>
      </c>
      <c r="F28">
        <f>Table2[[#This Row],[Area (km2)]]*100</f>
        <v>7138.0492315800002</v>
      </c>
      <c r="G28">
        <f t="shared" si="0"/>
        <v>0.86225044239464377</v>
      </c>
      <c r="H28">
        <f>Table2[[#This Row],[Area (km2)]]/Table2[[#This Row],[Pixel Area (km^2)]]</f>
        <v>82.783943975212054</v>
      </c>
      <c r="I28">
        <f>SUMIF(Table1[No], A28, Table1[Total 2015])</f>
        <v>770261</v>
      </c>
      <c r="J28">
        <f>SUMIF(Table1[No], A28, Table1[Total 2016])</f>
        <v>828773</v>
      </c>
      <c r="K28">
        <f>SUMIF(Table1[No], A28, Table1[Total-2016])</f>
        <v>720820.21</v>
      </c>
      <c r="L28">
        <f>Table2[[#This Row],[Total-2016]]</f>
        <v>720820.21</v>
      </c>
      <c r="M28">
        <f>Table2[[#This Row],[Final Annual]]/365</f>
        <v>1974.8498904109588</v>
      </c>
      <c r="N28">
        <f>Table2[[#This Row],[Final Annual]]*$G$6</f>
        <v>28111988.189999998</v>
      </c>
      <c r="O28">
        <f>Table2[[#This Row],[Final Annual]]*$G$7</f>
        <v>18020505.25</v>
      </c>
      <c r="P28" s="54">
        <f>Table2[[#This Row],[Revenue]]-Table2[[#This Row],[Cost]]</f>
        <v>10091482.939999998</v>
      </c>
      <c r="Q28" s="57">
        <f>Table2[[#This Row],[Final Annual]]/Table2[[#This Row],[Area (km2)]]</f>
        <v>10098.280168914542</v>
      </c>
      <c r="R28" s="54">
        <f>Table2[[#This Row],[Profit]]/Table2[[#This Row],[Area (km2)]]</f>
        <v>141375.92236480355</v>
      </c>
      <c r="S28" s="54">
        <f>Table2[[#This Row],[Profit]]/Table2[[#This Row],[Area (ha)]]</f>
        <v>1413.7592236480355</v>
      </c>
      <c r="T28" s="54">
        <f>Table2[[#This Row],[Profit]]/Table2[[#This Row],[Pixels]]</f>
        <v>121901.45160300269</v>
      </c>
    </row>
    <row r="29" spans="1:32" x14ac:dyDescent="0.3">
      <c r="A29" s="38">
        <v>45</v>
      </c>
      <c r="C29" s="39" t="s">
        <v>173</v>
      </c>
      <c r="D29" s="39" t="s">
        <v>287</v>
      </c>
      <c r="E29">
        <v>168.665540206</v>
      </c>
      <c r="F29">
        <f>Table2[[#This Row],[Area (km2)]]*100</f>
        <v>16866.554020600001</v>
      </c>
      <c r="G29">
        <f t="shared" si="0"/>
        <v>0.86225044239464377</v>
      </c>
      <c r="H29">
        <f>Table2[[#This Row],[Area (km2)]]/Table2[[#This Row],[Pixel Area (km^2)]]</f>
        <v>195.61084797774265</v>
      </c>
      <c r="I29">
        <f>SUMIF(Table1[No], A29, Table1[Total 2015])</f>
        <v>288756</v>
      </c>
      <c r="J29">
        <f>SUMIF(Table1[No], A29, Table1[Total 2016])</f>
        <v>0</v>
      </c>
      <c r="K29">
        <v>241252</v>
      </c>
      <c r="L29">
        <f>Table2[[#This Row],[Total-2016]]</f>
        <v>241252</v>
      </c>
      <c r="M29">
        <f>Table2[[#This Row],[Final Annual]]/365</f>
        <v>660.96438356164379</v>
      </c>
      <c r="N29">
        <f>Table2[[#This Row],[Final Annual]]*$G$6</f>
        <v>9408828</v>
      </c>
      <c r="O29">
        <f>Table2[[#This Row],[Final Annual]]*$G$7</f>
        <v>6031300</v>
      </c>
      <c r="P29" s="54">
        <f>Table2[[#This Row],[Revenue]]-Table2[[#This Row],[Cost]]</f>
        <v>3377528</v>
      </c>
      <c r="Q29" s="57">
        <f>Table2[[#This Row],[Final Annual]]/Table2[[#This Row],[Area (km2)]]</f>
        <v>1430.3573789011459</v>
      </c>
      <c r="R29" s="54">
        <f>Table2[[#This Row],[Profit]]/Table2[[#This Row],[Area (km2)]]</f>
        <v>20025.003304616042</v>
      </c>
      <c r="S29" s="54">
        <f>Table2[[#This Row],[Profit]]/Table2[[#This Row],[Area (ha)]]</f>
        <v>200.25003304616041</v>
      </c>
      <c r="T29" s="54">
        <f>Table2[[#This Row],[Profit]]/Table2[[#This Row],[Pixels]]</f>
        <v>17266.567958359385</v>
      </c>
      <c r="V29">
        <v>235</v>
      </c>
      <c r="W29">
        <v>234</v>
      </c>
      <c r="X29">
        <v>233</v>
      </c>
      <c r="Y29">
        <v>231</v>
      </c>
      <c r="Z29">
        <v>225</v>
      </c>
      <c r="AA29">
        <v>225</v>
      </c>
    </row>
    <row r="30" spans="1:32" x14ac:dyDescent="0.3">
      <c r="A30" s="38">
        <v>46</v>
      </c>
      <c r="C30" s="39" t="s">
        <v>161</v>
      </c>
      <c r="D30" s="39" t="s">
        <v>280</v>
      </c>
      <c r="E30">
        <v>61.274212482599999</v>
      </c>
      <c r="F30">
        <f>Table2[[#This Row],[Area (km2)]]*100</f>
        <v>6127.4212482599996</v>
      </c>
      <c r="G30">
        <f t="shared" si="0"/>
        <v>0.86225044239464377</v>
      </c>
      <c r="H30">
        <f>Table2[[#This Row],[Area (km2)]]/Table2[[#This Row],[Pixel Area (km^2)]]</f>
        <v>71.063126755179297</v>
      </c>
      <c r="I30">
        <f>SUMIF(Table1[No], A30, Table1[Total 2015])</f>
        <v>3145898</v>
      </c>
      <c r="J30">
        <f>SUMIF(Table1[No], A30, Table1[Total 2016])</f>
        <v>0</v>
      </c>
      <c r="K30" s="37">
        <v>3242796</v>
      </c>
      <c r="L30" s="37">
        <f>Table2[[#This Row],[Total-2016]]</f>
        <v>3242796</v>
      </c>
      <c r="M30" s="37">
        <f>Table2[[#This Row],[Final Annual]]/365</f>
        <v>8884.3726027397261</v>
      </c>
      <c r="N30">
        <f>Table2[[#This Row],[Final Annual]]*$G$6</f>
        <v>126469044</v>
      </c>
      <c r="O30">
        <f>Table2[[#This Row],[Final Annual]]*$G$7</f>
        <v>81069900</v>
      </c>
      <c r="P30" s="54">
        <f>Table2[[#This Row],[Revenue]]-Table2[[#This Row],[Cost]]</f>
        <v>45399144</v>
      </c>
      <c r="Q30" s="57">
        <f>Table2[[#This Row],[Final Annual]]/Table2[[#This Row],[Area (km2)]]</f>
        <v>52922.687515908176</v>
      </c>
      <c r="R30" s="54">
        <f>Table2[[#This Row],[Profit]]/Table2[[#This Row],[Area (km2)]]</f>
        <v>740917.6252227145</v>
      </c>
      <c r="S30" s="54">
        <f>Table2[[#This Row],[Profit]]/Table2[[#This Row],[Area (ha)]]</f>
        <v>7409.1762522271456</v>
      </c>
      <c r="T30" s="54">
        <f>Table2[[#This Row],[Profit]]/Table2[[#This Row],[Pixels]]</f>
        <v>638856.55012627447</v>
      </c>
      <c r="V30" s="37">
        <v>10400</v>
      </c>
      <c r="W30" s="37">
        <v>10233</v>
      </c>
      <c r="X30" s="37"/>
      <c r="Y30" s="37"/>
      <c r="Z30" s="37">
        <v>10456</v>
      </c>
      <c r="AA30" s="37">
        <v>10458</v>
      </c>
      <c r="AC30">
        <f>I30+I31</f>
        <v>4628425</v>
      </c>
      <c r="AD30">
        <f>I30/AC30</f>
        <v>0.67969082355228827</v>
      </c>
      <c r="AE30">
        <f>15301*$AD30</f>
        <v>10399.949291173563</v>
      </c>
      <c r="AF30">
        <f>15055*$AD30</f>
        <v>10232.7453485797</v>
      </c>
    </row>
    <row r="31" spans="1:32" x14ac:dyDescent="0.3">
      <c r="A31" s="38">
        <v>47</v>
      </c>
      <c r="C31" s="39" t="s">
        <v>162</v>
      </c>
      <c r="D31" s="39" t="s">
        <v>280</v>
      </c>
      <c r="E31">
        <v>390.64170149099999</v>
      </c>
      <c r="F31">
        <f>Table2[[#This Row],[Area (km2)]]*100</f>
        <v>39064.170149099999</v>
      </c>
      <c r="G31">
        <f t="shared" si="0"/>
        <v>0.86225044239464377</v>
      </c>
      <c r="H31">
        <f>Table2[[#This Row],[Area (km2)]]/Table2[[#This Row],[Pixel Area (km^2)]]</f>
        <v>453.04900094467803</v>
      </c>
      <c r="I31">
        <f>SUMIF(Table1[No], A31, Table1[Total 2015])</f>
        <v>1482527</v>
      </c>
      <c r="J31">
        <f>SUMIF(Table1[No], A31, Table1[Total 2016])</f>
        <v>0</v>
      </c>
      <c r="K31" s="37">
        <v>1528189</v>
      </c>
      <c r="L31" s="37">
        <f>Table2[[#This Row],[Total-2016]]</f>
        <v>1528189</v>
      </c>
      <c r="M31" s="37">
        <f>Table2[[#This Row],[Final Annual]]/365</f>
        <v>4186.8191780821917</v>
      </c>
      <c r="N31">
        <f>Table2[[#This Row],[Final Annual]]*$G$6</f>
        <v>59599371</v>
      </c>
      <c r="O31">
        <f>Table2[[#This Row],[Final Annual]]*$G$7</f>
        <v>38204725</v>
      </c>
      <c r="P31" s="54">
        <f>Table2[[#This Row],[Revenue]]-Table2[[#This Row],[Cost]]</f>
        <v>21394646</v>
      </c>
      <c r="Q31" s="57">
        <f>Table2[[#This Row],[Final Annual]]/Table2[[#This Row],[Area (km2)]]</f>
        <v>3911.9965793903034</v>
      </c>
      <c r="R31" s="54">
        <f>Table2[[#This Row],[Profit]]/Table2[[#This Row],[Area (km2)]]</f>
        <v>54767.952111464248</v>
      </c>
      <c r="S31" s="54">
        <f>Table2[[#This Row],[Profit]]/Table2[[#This Row],[Area (ha)]]</f>
        <v>547.67952111464251</v>
      </c>
      <c r="T31" s="54">
        <f>Table2[[#This Row],[Profit]]/Table2[[#This Row],[Pixels]]</f>
        <v>47223.69093715871</v>
      </c>
      <c r="V31" s="37">
        <v>4901</v>
      </c>
      <c r="W31" s="37">
        <v>4822</v>
      </c>
      <c r="X31" s="37"/>
      <c r="Y31" s="37"/>
      <c r="Z31" s="37">
        <v>4927</v>
      </c>
      <c r="AA31" s="37">
        <v>4929</v>
      </c>
      <c r="AD31">
        <f>I31/AC30</f>
        <v>0.32030917644771167</v>
      </c>
      <c r="AE31">
        <f>15301*$AD31</f>
        <v>4901.0507088264367</v>
      </c>
      <c r="AF31">
        <f>15055*$AD31</f>
        <v>4822.2546514202995</v>
      </c>
    </row>
    <row r="32" spans="1:32" s="69" customFormat="1" x14ac:dyDescent="0.3">
      <c r="A32" s="67">
        <v>48</v>
      </c>
      <c r="B32" s="67" t="s">
        <v>450</v>
      </c>
      <c r="C32" s="68" t="s">
        <v>393</v>
      </c>
      <c r="D32" s="68" t="s">
        <v>278</v>
      </c>
      <c r="E32" s="69">
        <v>239.42842758399999</v>
      </c>
      <c r="F32" s="69">
        <f>Table2[[#This Row],[Area (km2)]]*100</f>
        <v>23942.842758399998</v>
      </c>
      <c r="G32" s="69">
        <f t="shared" si="0"/>
        <v>0.86225044239464377</v>
      </c>
      <c r="H32" s="69">
        <f>Table2[[#This Row],[Area (km2)]]/Table2[[#This Row],[Pixel Area (km^2)]]</f>
        <v>277.67852100957913</v>
      </c>
      <c r="I32" s="69">
        <f>SUMIF(Table1[No], A32, Table1[Total 2015])</f>
        <v>0</v>
      </c>
      <c r="J32" s="69">
        <f>SUMIF(Table1[No], A32, Table1[Total 2016])</f>
        <v>0</v>
      </c>
      <c r="K32" s="69">
        <f>SUMIF(Table1[No], A32, Table1[Total-2016])</f>
        <v>0</v>
      </c>
      <c r="L32" s="69">
        <f>Table2[[#This Row],[Total-2016]]</f>
        <v>0</v>
      </c>
      <c r="M32" s="69">
        <f>Table2[[#This Row],[Final Annual]]/365</f>
        <v>0</v>
      </c>
      <c r="N32" s="69">
        <f>Table2[[#This Row],[Final Annual]]*$G$6</f>
        <v>0</v>
      </c>
      <c r="O32" s="69">
        <f>Table2[[#This Row],[Final Annual]]*$G$7</f>
        <v>0</v>
      </c>
      <c r="P32" s="70">
        <f>Table2[[#This Row],[$/km2]]*Table2[[#This Row],[Area (km2)]]</f>
        <v>478856.85516799998</v>
      </c>
      <c r="Q32" s="71">
        <f>Table2[[#This Row],[Final Annual]]/Table2[[#This Row],[Area (km2)]]</f>
        <v>0</v>
      </c>
      <c r="R32" s="70">
        <v>2000</v>
      </c>
      <c r="S32" s="70">
        <f>Table2[[#This Row],[Profit]]/Table2[[#This Row],[Area (ha)]]</f>
        <v>20</v>
      </c>
      <c r="T32" s="70">
        <f>Table2[[#This Row],[Profit]]/Table2[[#This Row],[Pixels]]</f>
        <v>1724.5008847892875</v>
      </c>
    </row>
    <row r="33" spans="1:27" x14ac:dyDescent="0.3">
      <c r="A33" s="38">
        <v>49</v>
      </c>
      <c r="C33" s="39" t="s">
        <v>158</v>
      </c>
      <c r="D33" s="39" t="s">
        <v>288</v>
      </c>
      <c r="E33">
        <v>638.97965687199996</v>
      </c>
      <c r="F33">
        <f>Table2[[#This Row],[Area (km2)]]*100</f>
        <v>63897.965687199998</v>
      </c>
      <c r="G33">
        <f t="shared" si="0"/>
        <v>0.86225044239464377</v>
      </c>
      <c r="H33">
        <f>Table2[[#This Row],[Area (km2)]]/Table2[[#This Row],[Pixel Area (km^2)]]</f>
        <v>741.06039899199618</v>
      </c>
      <c r="I33">
        <f>SUMIF(Table1[No], A33, Table1[Total 2015])</f>
        <v>983221</v>
      </c>
      <c r="J33">
        <f>SUMIF(Table1[No], A33, Table1[Total 2016])</f>
        <v>0</v>
      </c>
      <c r="K33">
        <v>892301</v>
      </c>
      <c r="L33">
        <f>Table2[[#This Row],[Total-2016]]</f>
        <v>892301</v>
      </c>
      <c r="M33">
        <f>Table2[[#This Row],[Final Annual]]/365</f>
        <v>2444.6602739726027</v>
      </c>
      <c r="N33">
        <f>Table2[[#This Row],[Final Annual]]*$G$6</f>
        <v>34799739</v>
      </c>
      <c r="O33">
        <f>Table2[[#This Row],[Final Annual]]*$G$7</f>
        <v>22307525</v>
      </c>
      <c r="P33" s="54">
        <f>Table2[[#This Row],[Revenue]]-Table2[[#This Row],[Cost]]</f>
        <v>12492214</v>
      </c>
      <c r="Q33" s="57">
        <f>Table2[[#This Row],[Final Annual]]/Table2[[#This Row],[Area (km2)]]</f>
        <v>1396.4466480327169</v>
      </c>
      <c r="R33" s="54">
        <f>Table2[[#This Row],[Profit]]/Table2[[#This Row],[Area (km2)]]</f>
        <v>19550.253072458039</v>
      </c>
      <c r="S33" s="54">
        <f>Table2[[#This Row],[Profit]]/Table2[[#This Row],[Area (ha)]]</f>
        <v>195.50253072458037</v>
      </c>
      <c r="T33" s="54">
        <f>Table2[[#This Row],[Profit]]/Table2[[#This Row],[Pixels]]</f>
        <v>16857.214360654187</v>
      </c>
      <c r="V33">
        <v>2269</v>
      </c>
      <c r="W33">
        <v>2277</v>
      </c>
      <c r="Z33">
        <v>2242</v>
      </c>
      <c r="AA33">
        <v>2230</v>
      </c>
    </row>
    <row r="34" spans="1:27" x14ac:dyDescent="0.3">
      <c r="A34" s="38">
        <v>50</v>
      </c>
      <c r="B34" s="38" t="s">
        <v>450</v>
      </c>
      <c r="C34" s="39" t="s">
        <v>394</v>
      </c>
      <c r="D34" s="39" t="s">
        <v>278</v>
      </c>
      <c r="E34">
        <v>244.52878311200001</v>
      </c>
      <c r="F34">
        <f>Table2[[#This Row],[Area (km2)]]*100</f>
        <v>24452.878311200002</v>
      </c>
      <c r="G34">
        <f t="shared" si="0"/>
        <v>0.86225044239464377</v>
      </c>
      <c r="H34">
        <f>Table2[[#This Row],[Area (km2)]]/Table2[[#This Row],[Pixel Area (km^2)]]</f>
        <v>283.59368820141646</v>
      </c>
      <c r="I34">
        <f>SUMIF(Table1[No], A34, Table1[Total 2015])</f>
        <v>0</v>
      </c>
      <c r="J34">
        <f>SUMIF(Table1[No], A34, Table1[Total 2016])</f>
        <v>0</v>
      </c>
      <c r="K34">
        <f>SUMIF(Table1[No], A34, Table1[Total-2016])</f>
        <v>0</v>
      </c>
      <c r="L34">
        <v>295115</v>
      </c>
      <c r="M34">
        <f>Table2[[#This Row],[Final Annual]]/365</f>
        <v>808.53424657534242</v>
      </c>
      <c r="N34">
        <f>Table2[[#This Row],[Final Annual]]*$G$6</f>
        <v>11509485</v>
      </c>
      <c r="O34">
        <f>Table2[[#This Row],[Final Annual]]*$G$7</f>
        <v>7377875</v>
      </c>
      <c r="P34" s="54">
        <f>Table2[[#This Row],[Revenue]]-Table2[[#This Row],[Cost]]</f>
        <v>4131610</v>
      </c>
      <c r="Q34" s="57">
        <f>Table2[[#This Row],[Final Annual]]/Table2[[#This Row],[Area (km2)]]</f>
        <v>1206.8722391049985</v>
      </c>
      <c r="R34" s="54">
        <f>Table2[[#This Row],[Profit]]/Table2[[#This Row],[Area (km2)]]</f>
        <v>16896.21134746998</v>
      </c>
      <c r="S34" s="54">
        <f>Table2[[#This Row],[Profit]]/Table2[[#This Row],[Area (ha)]]</f>
        <v>168.96211347469978</v>
      </c>
      <c r="T34" s="54">
        <f>Table2[[#This Row],[Profit]]/Table2[[#This Row],[Pixels]]</f>
        <v>14568.765709149389</v>
      </c>
    </row>
    <row r="35" spans="1:27" s="69" customFormat="1" x14ac:dyDescent="0.3">
      <c r="A35" s="67">
        <v>51</v>
      </c>
      <c r="B35" s="67" t="s">
        <v>450</v>
      </c>
      <c r="C35" s="68" t="s">
        <v>395</v>
      </c>
      <c r="D35" s="68" t="s">
        <v>278</v>
      </c>
      <c r="E35" s="69">
        <v>27.0397385861</v>
      </c>
      <c r="F35" s="69">
        <f>Table2[[#This Row],[Area (km2)]]*100</f>
        <v>2703.9738586100002</v>
      </c>
      <c r="G35" s="69">
        <f t="shared" si="0"/>
        <v>0.86225044239464377</v>
      </c>
      <c r="H35" s="69">
        <f>Table2[[#This Row],[Area (km2)]]/Table2[[#This Row],[Pixel Area (km^2)]]</f>
        <v>31.359495172893364</v>
      </c>
      <c r="I35" s="69">
        <f>SUMIF(Table1[No], A35, Table1[Total 2015])</f>
        <v>0</v>
      </c>
      <c r="J35" s="69">
        <f>SUMIF(Table1[No], A35, Table1[Total 2016])</f>
        <v>0</v>
      </c>
      <c r="K35" s="69">
        <f>SUMIF(Table1[No], A35, Table1[Total-2016])</f>
        <v>0</v>
      </c>
      <c r="L35" s="69">
        <f>Table2[[#This Row],[Total-2016]]</f>
        <v>0</v>
      </c>
      <c r="M35" s="69">
        <f>Table2[[#This Row],[Final Annual]]/365</f>
        <v>0</v>
      </c>
      <c r="N35" s="69">
        <f>Table2[[#This Row],[Final Annual]]*$G$6</f>
        <v>0</v>
      </c>
      <c r="O35" s="69">
        <f>Table2[[#This Row],[Final Annual]]*$G$7</f>
        <v>0</v>
      </c>
      <c r="P35" s="70">
        <f>Table2[[#This Row],[$/km2]]*Table2[[#This Row],[Area (km2)]]</f>
        <v>54079.4771722</v>
      </c>
      <c r="Q35" s="71">
        <f>Table2[[#This Row],[Final Annual]]/Table2[[#This Row],[Area (km2)]]</f>
        <v>0</v>
      </c>
      <c r="R35" s="70">
        <v>2000</v>
      </c>
      <c r="S35" s="70">
        <f>Table2[[#This Row],[Profit]]/Table2[[#This Row],[Area (ha)]]</f>
        <v>20</v>
      </c>
      <c r="T35" s="70">
        <f>Table2[[#This Row],[Profit]]/Table2[[#This Row],[Pixels]]</f>
        <v>1724.5008847892875</v>
      </c>
    </row>
    <row r="36" spans="1:27" x14ac:dyDescent="0.3">
      <c r="A36" s="38">
        <v>52</v>
      </c>
      <c r="C36" s="39" t="s">
        <v>148</v>
      </c>
      <c r="D36" s="39" t="s">
        <v>289</v>
      </c>
      <c r="E36">
        <v>83.249917185399994</v>
      </c>
      <c r="F36">
        <f>Table2[[#This Row],[Area (km2)]]*100</f>
        <v>8324.9917185399991</v>
      </c>
      <c r="G36">
        <f t="shared" si="0"/>
        <v>0.86225044239464377</v>
      </c>
      <c r="H36">
        <f>Table2[[#This Row],[Area (km2)]]/Table2[[#This Row],[Pixel Area (km^2)]]</f>
        <v>96.549578976379706</v>
      </c>
      <c r="I36">
        <f>SUMIF(Table1[No], A36, Table1[Total 2015])</f>
        <v>361293</v>
      </c>
      <c r="J36">
        <f>SUMIF(Table1[No], A36, Table1[Total 2016])</f>
        <v>0</v>
      </c>
      <c r="K36">
        <v>868237</v>
      </c>
      <c r="L36">
        <f>Table2[[#This Row],[Total-2016]]</f>
        <v>868237</v>
      </c>
      <c r="M36">
        <f>Table2[[#This Row],[Final Annual]]/365</f>
        <v>2378.7315068493149</v>
      </c>
      <c r="N36">
        <f>Table2[[#This Row],[Final Annual]]*$G$6</f>
        <v>33861243</v>
      </c>
      <c r="O36">
        <f>Table2[[#This Row],[Final Annual]]*$G$7</f>
        <v>21705925</v>
      </c>
      <c r="P36" s="54">
        <f>Table2[[#This Row],[Revenue]]-Table2[[#This Row],[Cost]]</f>
        <v>12155318</v>
      </c>
      <c r="Q36" s="57">
        <f>Table2[[#This Row],[Final Annual]]/Table2[[#This Row],[Area (km2)]]</f>
        <v>10429.283648011455</v>
      </c>
      <c r="R36" s="54">
        <f>Table2[[#This Row],[Profit]]/Table2[[#This Row],[Area (km2)]]</f>
        <v>146009.97107216038</v>
      </c>
      <c r="S36" s="54">
        <f>Table2[[#This Row],[Profit]]/Table2[[#This Row],[Area (ha)]]</f>
        <v>1460.0997107216037</v>
      </c>
      <c r="T36" s="54">
        <f>Table2[[#This Row],[Profit]]/Table2[[#This Row],[Pixels]]</f>
        <v>125897.16215099941</v>
      </c>
      <c r="V36">
        <v>2345</v>
      </c>
      <c r="W36">
        <v>2550</v>
      </c>
      <c r="Z36">
        <v>2922</v>
      </c>
      <c r="AA36">
        <v>2883</v>
      </c>
    </row>
    <row r="37" spans="1:27" x14ac:dyDescent="0.3">
      <c r="A37" s="38">
        <v>53</v>
      </c>
      <c r="C37" s="39" t="s">
        <v>225</v>
      </c>
      <c r="D37" s="39" t="s">
        <v>320</v>
      </c>
      <c r="E37">
        <v>34.675839734199997</v>
      </c>
      <c r="F37">
        <f>Table2[[#This Row],[Area (km2)]]*100</f>
        <v>3467.5839734199999</v>
      </c>
      <c r="G37">
        <f t="shared" si="0"/>
        <v>0.86225044239464377</v>
      </c>
      <c r="H37">
        <f>Table2[[#This Row],[Area (km2)]]/Table2[[#This Row],[Pixel Area (km^2)]]</f>
        <v>40.215508197245086</v>
      </c>
      <c r="I37">
        <f>SUMIF(Table1[No], A37, Table1[Total 2015])</f>
        <v>2161458</v>
      </c>
      <c r="J37">
        <f>SUMIF(Table1[No], A37, Table1[Total 2016])</f>
        <v>0</v>
      </c>
      <c r="K37">
        <v>1668248</v>
      </c>
      <c r="L37">
        <f>Table2[[#This Row],[Total-2016]]</f>
        <v>1668248</v>
      </c>
      <c r="M37">
        <f>Table2[[#This Row],[Final Annual]]/365</f>
        <v>4570.5424657534249</v>
      </c>
      <c r="N37">
        <f>Table2[[#This Row],[Final Annual]]*$G$6</f>
        <v>65061672</v>
      </c>
      <c r="O37">
        <f>Table2[[#This Row],[Final Annual]]*$G$7</f>
        <v>41706200</v>
      </c>
      <c r="P37" s="54">
        <f>Table2[[#This Row],[Revenue]]-Table2[[#This Row],[Cost]]</f>
        <v>23355472</v>
      </c>
      <c r="Q37" s="57">
        <f>Table2[[#This Row],[Final Annual]]/Table2[[#This Row],[Area (km2)]]</f>
        <v>48109.808235001292</v>
      </c>
      <c r="R37" s="54">
        <f>Table2[[#This Row],[Profit]]/Table2[[#This Row],[Area (km2)]]</f>
        <v>673537.3152900181</v>
      </c>
      <c r="S37" s="54">
        <f>Table2[[#This Row],[Profit]]/Table2[[#This Row],[Area (ha)]]</f>
        <v>6735.3731529001807</v>
      </c>
      <c r="T37" s="54">
        <f>Table2[[#This Row],[Profit]]/Table2[[#This Row],[Pixels]]</f>
        <v>580757.84807811875</v>
      </c>
      <c r="V37">
        <v>3308</v>
      </c>
      <c r="W37">
        <v>3305</v>
      </c>
      <c r="Z37">
        <v>3167</v>
      </c>
      <c r="AA37">
        <v>3191</v>
      </c>
    </row>
    <row r="38" spans="1:27" x14ac:dyDescent="0.3">
      <c r="A38" s="38">
        <v>54</v>
      </c>
      <c r="C38" s="39" t="s">
        <v>274</v>
      </c>
      <c r="D38" s="39" t="s">
        <v>290</v>
      </c>
      <c r="E38">
        <v>136.84095096499999</v>
      </c>
      <c r="F38">
        <f>Table2[[#This Row],[Area (km2)]]*100</f>
        <v>13684.095096499999</v>
      </c>
      <c r="G38">
        <f t="shared" si="0"/>
        <v>0.86225044239464377</v>
      </c>
      <c r="H38">
        <f>Table2[[#This Row],[Area (km2)]]/Table2[[#This Row],[Pixel Area (km^2)]]</f>
        <v>158.70209423722071</v>
      </c>
      <c r="I38">
        <f>SUMIF(Table1[No], A38, Table1[Total 2015])</f>
        <v>902277</v>
      </c>
      <c r="J38">
        <f>SUMIF(Table1[No], A38, Table1[Total 2016])</f>
        <v>0</v>
      </c>
      <c r="K38">
        <v>1515718</v>
      </c>
      <c r="L38">
        <f>Table2[[#This Row],[Total-2016]]</f>
        <v>1515718</v>
      </c>
      <c r="M38">
        <f>Table2[[#This Row],[Final Annual]]/365</f>
        <v>4152.6520547945202</v>
      </c>
      <c r="N38">
        <f>Table2[[#This Row],[Final Annual]]*$G$6</f>
        <v>59113002</v>
      </c>
      <c r="O38">
        <f>Table2[[#This Row],[Final Annual]]*$G$7</f>
        <v>37892950</v>
      </c>
      <c r="P38" s="54">
        <f>Table2[[#This Row],[Revenue]]-Table2[[#This Row],[Cost]]</f>
        <v>21220052</v>
      </c>
      <c r="Q38" s="57">
        <f>Table2[[#This Row],[Final Annual]]/Table2[[#This Row],[Area (km2)]]</f>
        <v>11076.494202292393</v>
      </c>
      <c r="R38" s="54">
        <f>Table2[[#This Row],[Profit]]/Table2[[#This Row],[Area (km2)]]</f>
        <v>155070.91883209351</v>
      </c>
      <c r="S38" s="54">
        <f>Table2[[#This Row],[Profit]]/Table2[[#This Row],[Area (ha)]]</f>
        <v>1550.709188320935</v>
      </c>
      <c r="T38" s="54">
        <f>Table2[[#This Row],[Profit]]/Table2[[#This Row],[Pixels]]</f>
        <v>133709.96836551651</v>
      </c>
      <c r="V38">
        <v>6440</v>
      </c>
      <c r="W38">
        <v>6507</v>
      </c>
      <c r="Z38">
        <v>6703</v>
      </c>
      <c r="AA38">
        <v>6702</v>
      </c>
    </row>
    <row r="39" spans="1:27" x14ac:dyDescent="0.3">
      <c r="A39" s="38">
        <v>55</v>
      </c>
      <c r="C39" s="39" t="s">
        <v>297</v>
      </c>
      <c r="D39" s="39" t="s">
        <v>278</v>
      </c>
      <c r="E39">
        <v>147.619873625</v>
      </c>
      <c r="F39">
        <f>Table2[[#This Row],[Area (km2)]]*100</f>
        <v>14761.9873625</v>
      </c>
      <c r="G39">
        <f t="shared" si="0"/>
        <v>0.86225044239464377</v>
      </c>
      <c r="H39">
        <f>Table2[[#This Row],[Area (km2)]]/Table2[[#This Row],[Pixel Area (km^2)]]</f>
        <v>171.20301291470466</v>
      </c>
      <c r="I39">
        <f>SUMIF(Table1[No], A39, Table1[Total 2015])</f>
        <v>136428</v>
      </c>
      <c r="J39">
        <f>SUMIF(Table1[No], A39, Table1[Total 2016])</f>
        <v>0</v>
      </c>
      <c r="K39">
        <f>SUMIF(Table1[No], A39, Table1[Total-2016])</f>
        <v>81509.19</v>
      </c>
      <c r="L39">
        <f>Table2[[#This Row],[Total-2016]]</f>
        <v>81509.19</v>
      </c>
      <c r="M39">
        <f>Table2[[#This Row],[Final Annual]]/365</f>
        <v>223.31284931506849</v>
      </c>
      <c r="N39">
        <f>Table2[[#This Row],[Final Annual]]*$G$6</f>
        <v>3178858.41</v>
      </c>
      <c r="O39">
        <f>Table2[[#This Row],[Final Annual]]*$G$7</f>
        <v>2037729.75</v>
      </c>
      <c r="P39" s="54">
        <f>Table2[[#This Row],[Revenue]]-Table2[[#This Row],[Cost]]</f>
        <v>1141128.6600000001</v>
      </c>
      <c r="Q39" s="57">
        <f>Table2[[#This Row],[Final Annual]]/Table2[[#This Row],[Area (km2)]]</f>
        <v>552.15593943034037</v>
      </c>
      <c r="R39" s="54">
        <f>Table2[[#This Row],[Profit]]/Table2[[#This Row],[Area (km2)]]</f>
        <v>7730.1831520247661</v>
      </c>
      <c r="S39" s="54">
        <f>Table2[[#This Row],[Profit]]/Table2[[#This Row],[Area (ha)]]</f>
        <v>77.30183152024766</v>
      </c>
      <c r="T39" s="54">
        <f>Table2[[#This Row],[Profit]]/Table2[[#This Row],[Pixels]]</f>
        <v>6665.3538426249761</v>
      </c>
    </row>
    <row r="40" spans="1:27" x14ac:dyDescent="0.3">
      <c r="A40" s="38">
        <v>56</v>
      </c>
      <c r="C40" s="39" t="s">
        <v>52</v>
      </c>
      <c r="D40" s="39" t="s">
        <v>278</v>
      </c>
      <c r="E40">
        <v>836.70427342400001</v>
      </c>
      <c r="F40">
        <f>Table2[[#This Row],[Area (km2)]]*100</f>
        <v>83670.427342399998</v>
      </c>
      <c r="G40">
        <f t="shared" si="0"/>
        <v>0.86225044239464377</v>
      </c>
      <c r="H40">
        <f>Table2[[#This Row],[Area (km2)]]/Table2[[#This Row],[Pixel Area (km^2)]]</f>
        <v>970.37268093513887</v>
      </c>
      <c r="I40">
        <f>SUMIF(Table1[No], A40, Table1[Total 2015])</f>
        <v>1770519</v>
      </c>
      <c r="J40">
        <f>SUMIF(Table1[No], A40, Table1[Total 2016])</f>
        <v>1538997</v>
      </c>
      <c r="K40">
        <f>SUMIF(Table1[No], A40, Table1[Total-2016])</f>
        <v>1405832.88</v>
      </c>
      <c r="L40">
        <f>Table2[[#This Row],[Total-2016]]</f>
        <v>1405832.88</v>
      </c>
      <c r="M40">
        <f>Table2[[#This Row],[Final Annual]]/365</f>
        <v>3851.5969315068492</v>
      </c>
      <c r="N40">
        <f>Table2[[#This Row],[Final Annual]]*$G$6</f>
        <v>54827482.319999993</v>
      </c>
      <c r="O40">
        <f>Table2[[#This Row],[Final Annual]]*$G$7</f>
        <v>35145822</v>
      </c>
      <c r="P40" s="54">
        <f>Table2[[#This Row],[Revenue]]-Table2[[#This Row],[Cost]]</f>
        <v>19681660.319999993</v>
      </c>
      <c r="Q40" s="57">
        <f>Table2[[#This Row],[Final Annual]]/Table2[[#This Row],[Area (km2)]]</f>
        <v>1680.2028203429456</v>
      </c>
      <c r="R40" s="54">
        <f>Table2[[#This Row],[Profit]]/Table2[[#This Row],[Area (km2)]]</f>
        <v>23522.839484801232</v>
      </c>
      <c r="S40" s="54">
        <f>Table2[[#This Row],[Profit]]/Table2[[#This Row],[Area (ha)]]</f>
        <v>235.22839484801233</v>
      </c>
      <c r="T40" s="54">
        <f>Table2[[#This Row],[Profit]]/Table2[[#This Row],[Pixels]]</f>
        <v>20282.578752148056</v>
      </c>
    </row>
    <row r="41" spans="1:27" x14ac:dyDescent="0.3">
      <c r="A41" s="38">
        <v>57</v>
      </c>
      <c r="C41" s="39" t="s">
        <v>396</v>
      </c>
      <c r="D41" s="39" t="s">
        <v>278</v>
      </c>
      <c r="E41">
        <v>1550.91378751</v>
      </c>
      <c r="F41">
        <f>Table2[[#This Row],[Area (km2)]]*100</f>
        <v>155091.37875100001</v>
      </c>
      <c r="G41">
        <f t="shared" si="0"/>
        <v>0.86225044239464377</v>
      </c>
      <c r="H41">
        <f>Table2[[#This Row],[Area (km2)]]/Table2[[#This Row],[Pixel Area (km^2)]]</f>
        <v>1798.681347385336</v>
      </c>
      <c r="I41">
        <f>SUMIF(Table1[No], A41, Table1[Total 2015])</f>
        <v>41175362</v>
      </c>
      <c r="J41">
        <f>SUMIF(Table1[No], A41, Table1[Total 2016])</f>
        <v>35372522</v>
      </c>
      <c r="K41">
        <f>SUMIF(Table1[No], A41, Table1[Total-2016])</f>
        <v>42641449.429999992</v>
      </c>
      <c r="L41">
        <f>Table2[[#This Row],[Total-2016]]</f>
        <v>42641449.429999992</v>
      </c>
      <c r="M41">
        <f>Table2[[#This Row],[Final Annual]]/365</f>
        <v>116825.88884931504</v>
      </c>
      <c r="N41">
        <f>Table2[[#This Row],[Final Annual]]*$G$6</f>
        <v>1663016527.7699997</v>
      </c>
      <c r="O41">
        <f>Table2[[#This Row],[Final Annual]]*$G$7</f>
        <v>1066036235.7499998</v>
      </c>
      <c r="P41" s="54">
        <f>Table2[[#This Row],[Revenue]]-Table2[[#This Row],[Cost]]</f>
        <v>596980292.01999998</v>
      </c>
      <c r="Q41" s="57">
        <f>Table2[[#This Row],[Final Annual]]/Table2[[#This Row],[Area (km2)]]</f>
        <v>27494.403475812189</v>
      </c>
      <c r="R41" s="54">
        <f>Table2[[#This Row],[Profit]]/Table2[[#This Row],[Area (km2)]]</f>
        <v>384921.64866137074</v>
      </c>
      <c r="S41" s="54">
        <f>Table2[[#This Row],[Profit]]/Table2[[#This Row],[Area (ha)]]</f>
        <v>3849.2164866137068</v>
      </c>
      <c r="T41" s="54">
        <f>Table2[[#This Row],[Profit]]/Table2[[#This Row],[Pixels]]</f>
        <v>331898.86184554256</v>
      </c>
    </row>
    <row r="42" spans="1:27" x14ac:dyDescent="0.3">
      <c r="A42" s="38">
        <v>58</v>
      </c>
      <c r="C42" s="38" t="s">
        <v>140</v>
      </c>
      <c r="D42" s="38" t="s">
        <v>278</v>
      </c>
      <c r="E42">
        <v>1740.3271035800001</v>
      </c>
      <c r="F42">
        <f>Table2[[#This Row],[Area (km2)]]*100</f>
        <v>174032.71035800001</v>
      </c>
      <c r="G42">
        <f t="shared" si="0"/>
        <v>0.86225044239464377</v>
      </c>
      <c r="H42">
        <f>Table2[[#This Row],[Area (km2)]]/Table2[[#This Row],[Pixel Area (km^2)]]</f>
        <v>2018.3545499225954</v>
      </c>
      <c r="I42">
        <f>SUMIF(Table1[No], A42, Table1[Total 2015])</f>
        <v>9429650</v>
      </c>
      <c r="J42">
        <f>SUMIF(Table1[No], A42, Table1[Total 2016])</f>
        <v>10244863</v>
      </c>
      <c r="K42">
        <f>SUMIF(Table1[No], A42, Table1[Total-2016])</f>
        <v>9634923.5299999993</v>
      </c>
      <c r="L42">
        <f>Table2[[#This Row],[Total-2016]]</f>
        <v>9634923.5299999993</v>
      </c>
      <c r="M42">
        <f>Table2[[#This Row],[Final Annual]]/365</f>
        <v>26397.050767123284</v>
      </c>
      <c r="N42">
        <f>Table2[[#This Row],[Final Annual]]*$G$6</f>
        <v>375762017.66999996</v>
      </c>
      <c r="O42">
        <f>Table2[[#This Row],[Final Annual]]*$G$7</f>
        <v>240873088.24999997</v>
      </c>
      <c r="P42" s="54">
        <f>Table2[[#This Row],[Revenue]]-Table2[[#This Row],[Cost]]</f>
        <v>134888929.41999999</v>
      </c>
      <c r="Q42" s="57">
        <f>Table2[[#This Row],[Final Annual]]/Table2[[#This Row],[Area (km2)]]</f>
        <v>5536.2716067457359</v>
      </c>
      <c r="R42" s="54">
        <f>Table2[[#This Row],[Profit]]/Table2[[#This Row],[Area (km2)]]</f>
        <v>77507.802494440301</v>
      </c>
      <c r="S42" s="54">
        <f>Table2[[#This Row],[Profit]]/Table2[[#This Row],[Area (ha)]]</f>
        <v>775.07802494440296</v>
      </c>
      <c r="T42" s="54">
        <f>Table2[[#This Row],[Profit]]/Table2[[#This Row],[Pixels]]</f>
        <v>66831.136989867824</v>
      </c>
    </row>
    <row r="43" spans="1:27" x14ac:dyDescent="0.3">
      <c r="A43" s="38">
        <v>59</v>
      </c>
      <c r="C43" s="38" t="s">
        <v>60</v>
      </c>
      <c r="D43" s="38" t="s">
        <v>278</v>
      </c>
      <c r="E43">
        <v>1384.5280163100001</v>
      </c>
      <c r="F43">
        <f>Table2[[#This Row],[Area (km2)]]*100</f>
        <v>138452.80163100001</v>
      </c>
      <c r="G43">
        <f t="shared" si="0"/>
        <v>0.86225044239464377</v>
      </c>
      <c r="H43">
        <f>Table2[[#This Row],[Area (km2)]]/Table2[[#This Row],[Pixel Area (km^2)]]</f>
        <v>1605.7144748628784</v>
      </c>
      <c r="I43">
        <f>SUMIF(Table1[No], A43, Table1[Total 2015])</f>
        <v>234943</v>
      </c>
      <c r="J43">
        <f>SUMIF(Table1[No], A43, Table1[Total 2016])</f>
        <v>0</v>
      </c>
      <c r="K43">
        <f>SUMIF(Table1[No], A43, Table1[Total-2016])</f>
        <v>228967.87</v>
      </c>
      <c r="L43">
        <f>Table2[[#This Row],[Total-2016]]</f>
        <v>228967.87</v>
      </c>
      <c r="M43">
        <f>Table2[[#This Row],[Final Annual]]/365</f>
        <v>627.30923287671237</v>
      </c>
      <c r="N43">
        <f>Table2[[#This Row],[Final Annual]]*$G$6</f>
        <v>8929746.9299999997</v>
      </c>
      <c r="O43">
        <f>Table2[[#This Row],[Final Annual]]*$G$7</f>
        <v>5724196.75</v>
      </c>
      <c r="P43" s="54">
        <f>Table2[[#This Row],[Revenue]]-Table2[[#This Row],[Cost]]</f>
        <v>3205550.1799999997</v>
      </c>
      <c r="Q43" s="57">
        <f>Table2[[#This Row],[Final Annual]]/Table2[[#This Row],[Area (km2)]]</f>
        <v>165.37611901147213</v>
      </c>
      <c r="R43" s="54">
        <f>Table2[[#This Row],[Profit]]/Table2[[#This Row],[Area (km2)]]</f>
        <v>2315.2656661606097</v>
      </c>
      <c r="S43" s="54">
        <f>Table2[[#This Row],[Profit]]/Table2[[#This Row],[Area (ha)]]</f>
        <v>23.152656661606095</v>
      </c>
      <c r="T43" s="54">
        <f>Table2[[#This Row],[Profit]]/Table2[[#This Row],[Pixels]]</f>
        <v>1996.3388449081153</v>
      </c>
    </row>
    <row r="44" spans="1:27" x14ac:dyDescent="0.3">
      <c r="A44" s="38">
        <v>60</v>
      </c>
      <c r="C44" s="39" t="s">
        <v>145</v>
      </c>
      <c r="D44" s="39" t="s">
        <v>412</v>
      </c>
      <c r="E44">
        <v>356.98590779099999</v>
      </c>
      <c r="F44">
        <f>Table2[[#This Row],[Area (km2)]]*100</f>
        <v>35698.590779099999</v>
      </c>
      <c r="G44">
        <f t="shared" ref="G44:G68" si="1">0.928574414031877^2</f>
        <v>0.86225044239464377</v>
      </c>
      <c r="H44">
        <f>Table2[[#This Row],[Area (km2)]]/Table2[[#This Row],[Pixel Area (km^2)]]</f>
        <v>414.01649710909743</v>
      </c>
      <c r="I44">
        <f>SUMIF(Table1[No], A44, Table1[Total 2015])</f>
        <v>27029894</v>
      </c>
      <c r="J44">
        <f>SUMIF(Table1[No], A44, Table1[Total 2016])</f>
        <v>0</v>
      </c>
      <c r="K44">
        <f>SUMIF(Table1[No], A44, Table1[Total-2016])</f>
        <v>26505574.030000001</v>
      </c>
      <c r="L44">
        <f>Table2[[#This Row],[Total-2016]]</f>
        <v>26505574.030000001</v>
      </c>
      <c r="M44">
        <f>Table2[[#This Row],[Final Annual]]/365</f>
        <v>72618.011041095888</v>
      </c>
      <c r="N44">
        <f>Table2[[#This Row],[Final Annual]]*$G$6</f>
        <v>1033717387.1700001</v>
      </c>
      <c r="O44">
        <f>Table2[[#This Row],[Final Annual]]*$G$7</f>
        <v>662639350.75</v>
      </c>
      <c r="P44" s="54">
        <f>Table2[[#This Row],[Revenue]]-Table2[[#This Row],[Cost]]</f>
        <v>371078036.42000008</v>
      </c>
      <c r="Q44" s="57">
        <f>Table2[[#This Row],[Final Annual]]/Table2[[#This Row],[Area (km2)]]</f>
        <v>74248.236279169549</v>
      </c>
      <c r="R44" s="54">
        <f>Table2[[#This Row],[Profit]]/Table2[[#This Row],[Area (km2)]]</f>
        <v>1039475.3079083739</v>
      </c>
      <c r="S44" s="54">
        <f>Table2[[#This Row],[Profit]]/Table2[[#This Row],[Area (ha)]]</f>
        <v>10394.753079083739</v>
      </c>
      <c r="T44" s="54">
        <f>Table2[[#This Row],[Profit]]/Table2[[#This Row],[Pixels]]</f>
        <v>896288.04410230392</v>
      </c>
    </row>
    <row r="45" spans="1:27" x14ac:dyDescent="0.3">
      <c r="A45" s="38">
        <v>61</v>
      </c>
      <c r="C45" s="39" t="s">
        <v>135</v>
      </c>
      <c r="D45" s="39" t="s">
        <v>278</v>
      </c>
      <c r="E45">
        <v>786.35391603999994</v>
      </c>
      <c r="F45">
        <f>Table2[[#This Row],[Area (km2)]]*100</f>
        <v>78635.391603999989</v>
      </c>
      <c r="G45">
        <f t="shared" si="1"/>
        <v>0.86225044239464377</v>
      </c>
      <c r="H45">
        <f>Table2[[#This Row],[Area (km2)]]/Table2[[#This Row],[Pixel Area (km^2)]]</f>
        <v>911.97855910185001</v>
      </c>
      <c r="I45">
        <f>SUMIF(Table1[No], A45, Table1[Total 2015])</f>
        <v>25978398</v>
      </c>
      <c r="J45">
        <f>SUMIF(Table1[No], A45, Table1[Total 2016])</f>
        <v>26202966</v>
      </c>
      <c r="K45">
        <f>SUMIF(Table1[No], A45, Table1[Total-2016])</f>
        <v>24754598.859999999</v>
      </c>
      <c r="L45">
        <f>Table2[[#This Row],[Total-2016]]</f>
        <v>24754598.859999999</v>
      </c>
      <c r="M45">
        <f>Table2[[#This Row],[Final Annual]]/365</f>
        <v>67820.818794520543</v>
      </c>
      <c r="N45">
        <f>Table2[[#This Row],[Final Annual]]*$G$6</f>
        <v>965429355.53999996</v>
      </c>
      <c r="O45">
        <f>Table2[[#This Row],[Final Annual]]*$G$7</f>
        <v>618864971.5</v>
      </c>
      <c r="P45" s="54">
        <f>Table2[[#This Row],[Revenue]]-Table2[[#This Row],[Cost]]</f>
        <v>346564384.03999996</v>
      </c>
      <c r="Q45" s="57">
        <f>Table2[[#This Row],[Final Annual]]/Table2[[#This Row],[Area (km2)]]</f>
        <v>31480.225830961324</v>
      </c>
      <c r="R45" s="54">
        <f>Table2[[#This Row],[Profit]]/Table2[[#This Row],[Area (km2)]]</f>
        <v>440723.16163345851</v>
      </c>
      <c r="S45" s="54">
        <f>Table2[[#This Row],[Profit]]/Table2[[#This Row],[Area (ha)]]</f>
        <v>4407.2316163345859</v>
      </c>
      <c r="T45" s="54">
        <f>Table2[[#This Row],[Profit]]/Table2[[#This Row],[Pixels]]</f>
        <v>380013.7410920157</v>
      </c>
    </row>
    <row r="46" spans="1:27" x14ac:dyDescent="0.3">
      <c r="A46" s="38">
        <v>62</v>
      </c>
      <c r="C46" s="39" t="s">
        <v>174</v>
      </c>
      <c r="D46" s="39" t="s">
        <v>291</v>
      </c>
      <c r="E46">
        <v>1052.91961345</v>
      </c>
      <c r="F46">
        <f>Table2[[#This Row],[Area (km2)]]*100</f>
        <v>105291.961345</v>
      </c>
      <c r="G46">
        <f t="shared" si="1"/>
        <v>0.86225044239464377</v>
      </c>
      <c r="H46">
        <f>Table2[[#This Row],[Area (km2)]]/Table2[[#This Row],[Pixel Area (km^2)]]</f>
        <v>1221.1296877109503</v>
      </c>
      <c r="I46">
        <f>SUMIF(Table1[No], A46, Table1[Total 2015])</f>
        <v>12077940</v>
      </c>
      <c r="J46">
        <f>SUMIF(Table1[No], A46, Table1[Total 2016])</f>
        <v>0</v>
      </c>
      <c r="K46">
        <v>12662520</v>
      </c>
      <c r="L46">
        <f>Table2[[#This Row],[Total-2016]]</f>
        <v>12662520</v>
      </c>
      <c r="M46">
        <f>Table2[[#This Row],[Final Annual]]/365</f>
        <v>34691.835616438359</v>
      </c>
      <c r="N46">
        <f>Table2[[#This Row],[Final Annual]]*$G$6</f>
        <v>493838280</v>
      </c>
      <c r="O46">
        <f>Table2[[#This Row],[Final Annual]]*$G$7</f>
        <v>316563000</v>
      </c>
      <c r="P46" s="54">
        <f>Table2[[#This Row],[Revenue]]-Table2[[#This Row],[Cost]]</f>
        <v>177275280</v>
      </c>
      <c r="Q46" s="57">
        <f>Table2[[#This Row],[Final Annual]]/Table2[[#This Row],[Area (km2)]]</f>
        <v>12026.10326396138</v>
      </c>
      <c r="R46" s="54">
        <f>Table2[[#This Row],[Profit]]/Table2[[#This Row],[Area (km2)]]</f>
        <v>168365.44569545932</v>
      </c>
      <c r="S46" s="54">
        <f>Table2[[#This Row],[Profit]]/Table2[[#This Row],[Area (ha)]]</f>
        <v>1683.6544569545931</v>
      </c>
      <c r="T46" s="54">
        <f>Table2[[#This Row],[Profit]]/Table2[[#This Row],[Pixels]]</f>
        <v>145173.18003488117</v>
      </c>
      <c r="V46">
        <v>34980</v>
      </c>
      <c r="W46">
        <v>34942</v>
      </c>
      <c r="X46">
        <v>34821</v>
      </c>
      <c r="Y46">
        <v>34562</v>
      </c>
      <c r="Z46">
        <v>34136</v>
      </c>
      <c r="AA46">
        <v>33928</v>
      </c>
    </row>
    <row r="47" spans="1:27" x14ac:dyDescent="0.3">
      <c r="A47" s="38">
        <v>64</v>
      </c>
      <c r="C47" s="39" t="s">
        <v>205</v>
      </c>
      <c r="D47" s="39" t="s">
        <v>292</v>
      </c>
      <c r="E47">
        <v>141.143433182</v>
      </c>
      <c r="F47">
        <f>Table2[[#This Row],[Area (km2)]]*100</f>
        <v>14114.343318199999</v>
      </c>
      <c r="G47">
        <f t="shared" si="1"/>
        <v>0.86225044239464377</v>
      </c>
      <c r="H47">
        <f>Table2[[#This Row],[Area (km2)]]/Table2[[#This Row],[Pixel Area (km^2)]]</f>
        <v>163.69192318419246</v>
      </c>
      <c r="I47">
        <f>SUMIF(Table1[No], A47, Table1[Total 2015])</f>
        <v>968457</v>
      </c>
      <c r="J47">
        <f>SUMIF(Table1[No], A47, Table1[Total 2016])</f>
        <v>0</v>
      </c>
      <c r="K47">
        <v>775999</v>
      </c>
      <c r="L47">
        <f>Table2[[#This Row],[Total-2016]]</f>
        <v>775999</v>
      </c>
      <c r="M47">
        <f>Table2[[#This Row],[Final Annual]]/365</f>
        <v>2126.0246575342467</v>
      </c>
      <c r="N47">
        <f>Table2[[#This Row],[Final Annual]]*$G$6</f>
        <v>30263961</v>
      </c>
      <c r="O47">
        <f>Table2[[#This Row],[Final Annual]]*$G$7</f>
        <v>19399975</v>
      </c>
      <c r="P47" s="54">
        <f>Table2[[#This Row],[Revenue]]-Table2[[#This Row],[Cost]]</f>
        <v>10863986</v>
      </c>
      <c r="Q47" s="57">
        <f>Table2[[#This Row],[Final Annual]]/Table2[[#This Row],[Area (km2)]]</f>
        <v>5497.9461849944792</v>
      </c>
      <c r="R47" s="54">
        <f>Table2[[#This Row],[Profit]]/Table2[[#This Row],[Area (km2)]]</f>
        <v>76971.24658992271</v>
      </c>
      <c r="S47" s="54">
        <f>Table2[[#This Row],[Profit]]/Table2[[#This Row],[Area (ha)]]</f>
        <v>769.71246589922703</v>
      </c>
      <c r="T47" s="54">
        <f>Table2[[#This Row],[Profit]]/Table2[[#This Row],[Pixels]]</f>
        <v>66368.491423828062</v>
      </c>
      <c r="V47">
        <v>2174</v>
      </c>
      <c r="W47">
        <v>2176</v>
      </c>
      <c r="X47">
        <v>2175</v>
      </c>
      <c r="Y47">
        <v>2176</v>
      </c>
      <c r="Z47">
        <v>2177</v>
      </c>
      <c r="AA47">
        <v>2178</v>
      </c>
    </row>
    <row r="48" spans="1:27" x14ac:dyDescent="0.3">
      <c r="A48" s="38">
        <v>65</v>
      </c>
      <c r="C48" s="39" t="s">
        <v>217</v>
      </c>
      <c r="D48" s="39" t="s">
        <v>293</v>
      </c>
      <c r="E48">
        <v>68.303823373499995</v>
      </c>
      <c r="F48">
        <f>Table2[[#This Row],[Area (km2)]]*100</f>
        <v>6830.3823373499999</v>
      </c>
      <c r="G48">
        <f t="shared" si="1"/>
        <v>0.86225044239464377</v>
      </c>
      <c r="H48">
        <f>Table2[[#This Row],[Area (km2)]]/Table2[[#This Row],[Pixel Area (km^2)]]</f>
        <v>79.215759152070106</v>
      </c>
      <c r="I48">
        <f>SUMIF(Table1[No], A48, Table1[Total 2015])</f>
        <v>1657363</v>
      </c>
      <c r="J48">
        <f>SUMIF(Table1[No], A48, Table1[Total 2016])</f>
        <v>0</v>
      </c>
      <c r="K48">
        <v>1442574</v>
      </c>
      <c r="L48">
        <f>Table2[[#This Row],[Total-2016]]</f>
        <v>1442574</v>
      </c>
      <c r="M48">
        <f>Table2[[#This Row],[Final Annual]]/365</f>
        <v>3952.2575342465752</v>
      </c>
      <c r="N48">
        <f>Table2[[#This Row],[Final Annual]]*$G$6</f>
        <v>56260386</v>
      </c>
      <c r="O48">
        <f>Table2[[#This Row],[Final Annual]]*$G$7</f>
        <v>36064350</v>
      </c>
      <c r="P48" s="54">
        <f>Table2[[#This Row],[Revenue]]-Table2[[#This Row],[Cost]]</f>
        <v>20196036</v>
      </c>
      <c r="Q48" s="57">
        <f>Table2[[#This Row],[Final Annual]]/Table2[[#This Row],[Area (km2)]]</f>
        <v>21119.959743859363</v>
      </c>
      <c r="R48" s="54">
        <f>Table2[[#This Row],[Profit]]/Table2[[#This Row],[Area (km2)]]</f>
        <v>295679.43641403108</v>
      </c>
      <c r="S48" s="54">
        <f>Table2[[#This Row],[Profit]]/Table2[[#This Row],[Area (ha)]]</f>
        <v>2956.7943641403103</v>
      </c>
      <c r="T48" s="54">
        <f>Table2[[#This Row],[Profit]]/Table2[[#This Row],[Pixels]]</f>
        <v>254949.72485499721</v>
      </c>
      <c r="V48">
        <v>3852</v>
      </c>
      <c r="W48">
        <v>3853</v>
      </c>
      <c r="Z48">
        <v>3843</v>
      </c>
      <c r="AA48">
        <v>3848</v>
      </c>
    </row>
    <row r="49" spans="1:32" x14ac:dyDescent="0.3">
      <c r="A49" s="38">
        <v>66</v>
      </c>
      <c r="C49" s="39" t="s">
        <v>206</v>
      </c>
      <c r="D49" s="39" t="s">
        <v>294</v>
      </c>
      <c r="E49">
        <v>250.98323394100001</v>
      </c>
      <c r="F49">
        <f>Table2[[#This Row],[Area (km2)]]*100</f>
        <v>25098.3233941</v>
      </c>
      <c r="G49">
        <f t="shared" si="1"/>
        <v>0.86225044239464377</v>
      </c>
      <c r="H49">
        <f>Table2[[#This Row],[Area (km2)]]/Table2[[#This Row],[Pixel Area (km^2)]]</f>
        <v>291.07927534831856</v>
      </c>
      <c r="I49">
        <f>SUMIF(Table1[No], A49, Table1[Total 2015])</f>
        <v>889913</v>
      </c>
      <c r="J49">
        <f>SUMIF(Table1[No], A49, Table1[Total 2016])</f>
        <v>0</v>
      </c>
      <c r="K49">
        <v>868346</v>
      </c>
      <c r="L49">
        <f>Table2[[#This Row],[Total-2016]]</f>
        <v>868346</v>
      </c>
      <c r="M49">
        <f>Table2[[#This Row],[Final Annual]]/365</f>
        <v>2379.0301369863014</v>
      </c>
      <c r="N49">
        <f>Table2[[#This Row],[Final Annual]]*$G$6</f>
        <v>33865494</v>
      </c>
      <c r="O49">
        <f>Table2[[#This Row],[Final Annual]]*$G$7</f>
        <v>21708650</v>
      </c>
      <c r="P49" s="54">
        <f>Table2[[#This Row],[Revenue]]-Table2[[#This Row],[Cost]]</f>
        <v>12156844</v>
      </c>
      <c r="Q49" s="57">
        <f>Table2[[#This Row],[Final Annual]]/Table2[[#This Row],[Area (km2)]]</f>
        <v>3459.7769196173749</v>
      </c>
      <c r="R49" s="54">
        <f>Table2[[#This Row],[Profit]]/Table2[[#This Row],[Area (km2)]]</f>
        <v>48436.876874643247</v>
      </c>
      <c r="S49" s="54">
        <f>Table2[[#This Row],[Profit]]/Table2[[#This Row],[Area (ha)]]</f>
        <v>484.36876874643252</v>
      </c>
      <c r="T49" s="54">
        <f>Table2[[#This Row],[Profit]]/Table2[[#This Row],[Pixels]]</f>
        <v>41764.718513376036</v>
      </c>
      <c r="V49">
        <v>3328</v>
      </c>
      <c r="W49">
        <v>3359</v>
      </c>
      <c r="Z49">
        <v>3672</v>
      </c>
      <c r="AA49">
        <v>3675</v>
      </c>
    </row>
    <row r="50" spans="1:32" x14ac:dyDescent="0.3">
      <c r="A50" s="38">
        <v>67</v>
      </c>
      <c r="C50" s="39" t="s">
        <v>191</v>
      </c>
      <c r="D50" s="39" t="s">
        <v>283</v>
      </c>
      <c r="E50">
        <v>70.426936935900002</v>
      </c>
      <c r="F50">
        <f>Table2[[#This Row],[Area (km2)]]*100</f>
        <v>7042.6936935900003</v>
      </c>
      <c r="G50">
        <f t="shared" si="1"/>
        <v>0.86225044239464377</v>
      </c>
      <c r="H50">
        <f>Table2[[#This Row],[Area (km2)]]/Table2[[#This Row],[Pixel Area (km^2)]]</f>
        <v>81.678052539248526</v>
      </c>
      <c r="I50">
        <f>SUMIF(Table1[No], A50, Table1[Total 2015])</f>
        <v>1444999</v>
      </c>
      <c r="J50">
        <f>SUMIF(Table1[No], A50, Table1[Total 2016])</f>
        <v>0</v>
      </c>
      <c r="K50" s="37">
        <v>1273959</v>
      </c>
      <c r="L50" s="37">
        <f>Table2[[#This Row],[Total-2016]]</f>
        <v>1273959</v>
      </c>
      <c r="M50" s="37">
        <f>Table2[[#This Row],[Final Annual]]/365</f>
        <v>3490.2986301369865</v>
      </c>
      <c r="N50">
        <f>Table2[[#This Row],[Final Annual]]*$G$6</f>
        <v>49684401</v>
      </c>
      <c r="O50">
        <f>Table2[[#This Row],[Final Annual]]*$G$7</f>
        <v>31848975</v>
      </c>
      <c r="P50" s="54">
        <f>Table2[[#This Row],[Revenue]]-Table2[[#This Row],[Cost]]</f>
        <v>17835426</v>
      </c>
      <c r="Q50" s="57">
        <f>Table2[[#This Row],[Final Annual]]/Table2[[#This Row],[Area (km2)]]</f>
        <v>18089.087150837051</v>
      </c>
      <c r="R50" s="54">
        <f>Table2[[#This Row],[Profit]]/Table2[[#This Row],[Area (km2)]]</f>
        <v>253247.22011171869</v>
      </c>
      <c r="S50" s="54">
        <f>Table2[[#This Row],[Profit]]/Table2[[#This Row],[Area (ha)]]</f>
        <v>2532.4722011171871</v>
      </c>
      <c r="T50" s="54">
        <f>Table2[[#This Row],[Profit]]/Table2[[#This Row],[Pixels]]</f>
        <v>218362.52757654319</v>
      </c>
      <c r="V50" s="37">
        <v>2983</v>
      </c>
      <c r="W50" s="37">
        <v>2887</v>
      </c>
      <c r="X50" s="37"/>
      <c r="Y50" s="37"/>
      <c r="Z50" s="37">
        <v>2961</v>
      </c>
      <c r="AA50" s="37">
        <v>2962</v>
      </c>
      <c r="AD50">
        <f>I50/AC$18</f>
        <v>0.13935623354847892</v>
      </c>
      <c r="AE50">
        <f>21403*$AD50</f>
        <v>2982.6414666380942</v>
      </c>
      <c r="AF50">
        <f>20719*AD50</f>
        <v>2887.321802890935</v>
      </c>
    </row>
    <row r="51" spans="1:32" x14ac:dyDescent="0.3">
      <c r="A51" s="61">
        <v>70</v>
      </c>
      <c r="B51" s="61" t="s">
        <v>451</v>
      </c>
      <c r="C51" s="62" t="s">
        <v>454</v>
      </c>
      <c r="D51" s="62" t="s">
        <v>4</v>
      </c>
      <c r="E51" s="63">
        <v>1800.6073113699999</v>
      </c>
      <c r="F51" s="63">
        <f>Table2[[#This Row],[Area (km2)]]*100</f>
        <v>180060.731137</v>
      </c>
      <c r="G51" s="63">
        <f t="shared" si="1"/>
        <v>0.86225044239464377</v>
      </c>
      <c r="H51" s="63">
        <f>Table2[[#This Row],[Area (km2)]]/Table2[[#This Row],[Pixel Area (km^2)]]</f>
        <v>2088.2648739145316</v>
      </c>
      <c r="I51" s="63">
        <f>SUMIF(Table1[No], A51, Table1[Total 2015])</f>
        <v>0</v>
      </c>
      <c r="J51" s="63">
        <f>SUMIF(Table1[No], A51, Table1[Total 2016])</f>
        <v>0</v>
      </c>
      <c r="K51" s="63">
        <f>SUMIF(Table1[No], A51, Table1[Total-2016])</f>
        <v>0</v>
      </c>
      <c r="L51" s="63">
        <f>Table2[[#This Row],[Prod/Area]]*Table2[[#This Row],[Area (km2)]]</f>
        <v>937473.08415065694</v>
      </c>
      <c r="M51" s="63">
        <f>Table2[[#This Row],[Final Annual]]/365</f>
        <v>2568.4194086319367</v>
      </c>
      <c r="N51" s="63">
        <f>Table2[[#This Row],[Final Annual]]*$G$6</f>
        <v>36561450.281875618</v>
      </c>
      <c r="O51" s="63">
        <f>Table2[[#This Row],[Final Annual]]*$G$8</f>
        <v>26249246.356218394</v>
      </c>
      <c r="P51" s="64">
        <f>Table2[[#This Row],[Revenue]]-Table2[[#This Row],[Cost]]</f>
        <v>10312203.925657224</v>
      </c>
      <c r="Q51" s="65">
        <f>$H$74</f>
        <v>520.64271772692985</v>
      </c>
      <c r="R51" s="64">
        <f>Table2[[#This Row],[Profit]]/Table2[[#This Row],[Area (km2)]]</f>
        <v>5727.069894996227</v>
      </c>
      <c r="S51" s="64">
        <f>Table2[[#This Row],[Profit]]/Table2[[#This Row],[Area (ha)]]</f>
        <v>57.270698949962267</v>
      </c>
      <c r="T51" s="64">
        <f>Table2[[#This Row],[Profit]]/Table2[[#This Row],[Pixels]]</f>
        <v>4938.168550585543</v>
      </c>
      <c r="U51" s="63"/>
      <c r="V51" s="63"/>
      <c r="W51" s="63"/>
      <c r="X51" s="63"/>
      <c r="Y51" s="63"/>
      <c r="Z51" s="63"/>
      <c r="AA51" s="63"/>
    </row>
    <row r="52" spans="1:32" x14ac:dyDescent="0.3">
      <c r="A52" s="61">
        <v>71</v>
      </c>
      <c r="B52" s="61" t="s">
        <v>451</v>
      </c>
      <c r="C52" s="62" t="s">
        <v>455</v>
      </c>
      <c r="D52" s="62" t="s">
        <v>4</v>
      </c>
      <c r="E52" s="63">
        <v>1854.24744766</v>
      </c>
      <c r="F52" s="63">
        <f>Table2[[#This Row],[Area (km2)]]*100</f>
        <v>185424.74476600002</v>
      </c>
      <c r="G52" s="63">
        <f t="shared" si="1"/>
        <v>0.86225044239464377</v>
      </c>
      <c r="H52" s="63">
        <f>Table2[[#This Row],[Area (km2)]]/Table2[[#This Row],[Pixel Area (km^2)]]</f>
        <v>2150.4743360993589</v>
      </c>
      <c r="I52" s="63">
        <f>SUMIF(Table1[No], A52, Table1[Total 2015])</f>
        <v>0</v>
      </c>
      <c r="J52" s="63">
        <f>SUMIF(Table1[No], A52, Table1[Total 2016])</f>
        <v>0</v>
      </c>
      <c r="K52" s="63">
        <f>SUMIF(Table1[No], A52, Table1[Total-2016])</f>
        <v>0</v>
      </c>
      <c r="L52" s="63">
        <f>Table2[[#This Row],[Prod/Area]]*Table2[[#This Row],[Area (km2)]]</f>
        <v>965400.43048792554</v>
      </c>
      <c r="M52" s="63">
        <f>Table2[[#This Row],[Final Annual]]/365</f>
        <v>2644.9326862682892</v>
      </c>
      <c r="N52" s="63">
        <f>Table2[[#This Row],[Final Annual]]*$G$6</f>
        <v>37650616.789029099</v>
      </c>
      <c r="O52" s="63">
        <f>Table2[[#This Row],[Final Annual]]*$G$8</f>
        <v>27031212.053661916</v>
      </c>
      <c r="P52" s="64">
        <f>Table2[[#This Row],[Revenue]]-Table2[[#This Row],[Cost]]</f>
        <v>10619404.735367183</v>
      </c>
      <c r="Q52" s="65">
        <f t="shared" ref="Q52:Q68" si="2">$H$74</f>
        <v>520.64271772692985</v>
      </c>
      <c r="R52" s="64">
        <f>Table2[[#This Row],[Profit]]/Table2[[#This Row],[Area (km2)]]</f>
        <v>5727.0698949962298</v>
      </c>
      <c r="S52" s="64">
        <f>Table2[[#This Row],[Profit]]/Table2[[#This Row],[Area (ha)]]</f>
        <v>57.270698949962288</v>
      </c>
      <c r="T52" s="64">
        <f>Table2[[#This Row],[Profit]]/Table2[[#This Row],[Pixels]]</f>
        <v>4938.1685505855448</v>
      </c>
      <c r="U52" s="63"/>
      <c r="V52" s="63"/>
      <c r="W52" s="63"/>
      <c r="X52" s="63"/>
      <c r="Y52" s="63"/>
      <c r="Z52" s="63"/>
      <c r="AA52" s="63"/>
    </row>
    <row r="53" spans="1:32" x14ac:dyDescent="0.3">
      <c r="A53" s="61">
        <v>72</v>
      </c>
      <c r="B53" s="61" t="s">
        <v>451</v>
      </c>
      <c r="C53" s="62" t="s">
        <v>456</v>
      </c>
      <c r="D53" s="62" t="s">
        <v>4</v>
      </c>
      <c r="E53" s="63">
        <v>1875.5183794699999</v>
      </c>
      <c r="F53" s="63">
        <f>Table2[[#This Row],[Area (km2)]]*100</f>
        <v>187551.83794699999</v>
      </c>
      <c r="G53" s="63">
        <f t="shared" si="1"/>
        <v>0.86225044239464377</v>
      </c>
      <c r="H53" s="63">
        <f>Table2[[#This Row],[Area (km2)]]/Table2[[#This Row],[Pixel Area (km^2)]]</f>
        <v>2175.1434238309071</v>
      </c>
      <c r="I53" s="63">
        <f>SUMIF(Table1[No], A53, Table1[Total 2015])</f>
        <v>0</v>
      </c>
      <c r="J53" s="63">
        <f>SUMIF(Table1[No], A53, Table1[Total 2016])</f>
        <v>0</v>
      </c>
      <c r="K53" s="63">
        <f>SUMIF(Table1[No], A53, Table1[Total-2016])</f>
        <v>0</v>
      </c>
      <c r="L53" s="63">
        <f>Table2[[#This Row],[Prod/Area]]*Table2[[#This Row],[Area (km2)]]</f>
        <v>976474.98623406806</v>
      </c>
      <c r="M53" s="63">
        <f>Table2[[#This Row],[Final Annual]]/365</f>
        <v>2675.2739348878576</v>
      </c>
      <c r="N53" s="63">
        <f>Table2[[#This Row],[Final Annual]]*$G$6</f>
        <v>38082524.463128656</v>
      </c>
      <c r="O53" s="63">
        <f>Table2[[#This Row],[Final Annual]]*$G$8</f>
        <v>27341299.614553906</v>
      </c>
      <c r="P53" s="64">
        <f>Table2[[#This Row],[Revenue]]-Table2[[#This Row],[Cost]]</f>
        <v>10741224.84857475</v>
      </c>
      <c r="Q53" s="65">
        <f t="shared" si="2"/>
        <v>520.64271772692985</v>
      </c>
      <c r="R53" s="64">
        <f>Table2[[#This Row],[Profit]]/Table2[[#This Row],[Area (km2)]]</f>
        <v>5727.0698949962289</v>
      </c>
      <c r="S53" s="64">
        <f>Table2[[#This Row],[Profit]]/Table2[[#This Row],[Area (ha)]]</f>
        <v>57.270698949962288</v>
      </c>
      <c r="T53" s="64">
        <f>Table2[[#This Row],[Profit]]/Table2[[#This Row],[Pixels]]</f>
        <v>4938.1685505855448</v>
      </c>
      <c r="U53" s="63"/>
      <c r="V53" s="63"/>
      <c r="W53" s="63"/>
      <c r="X53" s="63"/>
      <c r="Y53" s="63"/>
      <c r="Z53" s="63"/>
      <c r="AA53" s="63"/>
    </row>
    <row r="54" spans="1:32" x14ac:dyDescent="0.3">
      <c r="A54" s="61">
        <v>73</v>
      </c>
      <c r="B54" s="61" t="s">
        <v>451</v>
      </c>
      <c r="C54" s="62" t="s">
        <v>457</v>
      </c>
      <c r="D54" s="62" t="s">
        <v>4</v>
      </c>
      <c r="E54" s="63">
        <v>1979.6366171</v>
      </c>
      <c r="F54" s="63">
        <f>Table2[[#This Row],[Area (km2)]]*100</f>
        <v>197963.66170999999</v>
      </c>
      <c r="G54" s="63">
        <f t="shared" si="1"/>
        <v>0.86225044239464377</v>
      </c>
      <c r="H54" s="63">
        <f>Table2[[#This Row],[Area (km2)]]/Table2[[#This Row],[Pixel Area (km^2)]]</f>
        <v>2295.8951596500769</v>
      </c>
      <c r="I54" s="63">
        <f>SUMIF(Table1[No], A54, Table1[Total 2015])</f>
        <v>0</v>
      </c>
      <c r="J54" s="63">
        <f>SUMIF(Table1[No], A54, Table1[Total 2016])</f>
        <v>0</v>
      </c>
      <c r="K54" s="63">
        <f>SUMIF(Table1[No], A54, Table1[Total-2016])</f>
        <v>0</v>
      </c>
      <c r="L54" s="63">
        <f>Table2[[#This Row],[Prod/Area]]*Table2[[#This Row],[Area (km2)]]</f>
        <v>1030683.3884386896</v>
      </c>
      <c r="M54" s="63">
        <f>Table2[[#This Row],[Final Annual]]/365</f>
        <v>2823.7901053114783</v>
      </c>
      <c r="N54" s="63">
        <f>Table2[[#This Row],[Final Annual]]*$G$6</f>
        <v>40196652.149108894</v>
      </c>
      <c r="O54" s="63">
        <f>Table2[[#This Row],[Final Annual]]*$G$8</f>
        <v>28859134.87628331</v>
      </c>
      <c r="P54" s="64">
        <f>Table2[[#This Row],[Revenue]]-Table2[[#This Row],[Cost]]</f>
        <v>11337517.272825584</v>
      </c>
      <c r="Q54" s="65">
        <f t="shared" si="2"/>
        <v>520.64271772692985</v>
      </c>
      <c r="R54" s="64">
        <f>Table2[[#This Row],[Profit]]/Table2[[#This Row],[Area (km2)]]</f>
        <v>5727.069894996227</v>
      </c>
      <c r="S54" s="64">
        <f>Table2[[#This Row],[Profit]]/Table2[[#This Row],[Area (ha)]]</f>
        <v>57.270698949962281</v>
      </c>
      <c r="T54" s="64">
        <f>Table2[[#This Row],[Profit]]/Table2[[#This Row],[Pixels]]</f>
        <v>4938.168550585543</v>
      </c>
      <c r="U54" s="63"/>
      <c r="V54" s="63"/>
      <c r="W54" s="63"/>
      <c r="X54" s="63"/>
      <c r="Y54" s="63"/>
      <c r="Z54" s="63"/>
      <c r="AA54" s="63"/>
    </row>
    <row r="55" spans="1:32" x14ac:dyDescent="0.3">
      <c r="A55" s="61">
        <v>74</v>
      </c>
      <c r="B55" s="61" t="s">
        <v>451</v>
      </c>
      <c r="C55" s="62" t="s">
        <v>402</v>
      </c>
      <c r="D55" s="62" t="s">
        <v>413</v>
      </c>
      <c r="E55" s="63">
        <v>1754.1390804600001</v>
      </c>
      <c r="F55" s="63">
        <f>Table2[[#This Row],[Area (km2)]]*100</f>
        <v>175413.908046</v>
      </c>
      <c r="G55" s="63">
        <f t="shared" si="1"/>
        <v>0.86225044239464377</v>
      </c>
      <c r="H55" s="63">
        <f>Table2[[#This Row],[Area (km2)]]/Table2[[#This Row],[Pixel Area (km^2)]]</f>
        <v>2034.3730709936215</v>
      </c>
      <c r="I55" s="63">
        <f>SUMIF(Table1[No], A55, Table1[Total 2015])</f>
        <v>0</v>
      </c>
      <c r="J55" s="63">
        <f>SUMIF(Table1[No], A55, Table1[Total 2016])</f>
        <v>0</v>
      </c>
      <c r="K55" s="63">
        <f>SUMIF(Table1[No], A55, Table1[Total-2016])</f>
        <v>0</v>
      </c>
      <c r="L55" s="63">
        <f>Table2[[#This Row],[Prod/Area]]*Table2[[#This Row],[Area (km2)]]</f>
        <v>913279.73812171211</v>
      </c>
      <c r="M55" s="63">
        <f>Table2[[#This Row],[Final Annual]]/365</f>
        <v>2502.1362688266086</v>
      </c>
      <c r="N55" s="63">
        <f>Table2[[#This Row],[Final Annual]]*$G$6</f>
        <v>35617909.78674677</v>
      </c>
      <c r="O55" s="63">
        <f>Table2[[#This Row],[Final Annual]]*$G$8</f>
        <v>25571832.667407937</v>
      </c>
      <c r="P55" s="64">
        <f>Table2[[#This Row],[Revenue]]-Table2[[#This Row],[Cost]]</f>
        <v>10046077.119338833</v>
      </c>
      <c r="Q55" s="65">
        <f t="shared" si="2"/>
        <v>520.64271772692985</v>
      </c>
      <c r="R55" s="64">
        <f>Table2[[#This Row],[Profit]]/Table2[[#This Row],[Area (km2)]]</f>
        <v>5727.069894996228</v>
      </c>
      <c r="S55" s="64">
        <f>Table2[[#This Row],[Profit]]/Table2[[#This Row],[Area (ha)]]</f>
        <v>57.270698949962288</v>
      </c>
      <c r="T55" s="64">
        <f>Table2[[#This Row],[Profit]]/Table2[[#This Row],[Pixels]]</f>
        <v>4938.1685505855439</v>
      </c>
      <c r="U55" s="63"/>
      <c r="V55" s="63"/>
      <c r="W55" s="63"/>
      <c r="X55" s="63"/>
      <c r="Y55" s="63"/>
      <c r="Z55" s="63"/>
      <c r="AA55" s="63"/>
    </row>
    <row r="56" spans="1:32" x14ac:dyDescent="0.3">
      <c r="A56" s="61">
        <v>75</v>
      </c>
      <c r="B56" s="61" t="s">
        <v>451</v>
      </c>
      <c r="C56" s="62" t="s">
        <v>403</v>
      </c>
      <c r="D56" s="62" t="s">
        <v>413</v>
      </c>
      <c r="E56" s="63">
        <v>1954.2442499599999</v>
      </c>
      <c r="F56" s="63">
        <f>Table2[[#This Row],[Area (km2)]]*100</f>
        <v>195424.42499599999</v>
      </c>
      <c r="G56" s="63">
        <f t="shared" si="1"/>
        <v>0.86225044239464377</v>
      </c>
      <c r="H56" s="63">
        <f>Table2[[#This Row],[Area (km2)]]/Table2[[#This Row],[Pixel Area (km^2)]]</f>
        <v>2266.4462131589848</v>
      </c>
      <c r="I56" s="63">
        <f>SUMIF(Table1[No], A56, Table1[Total 2015])</f>
        <v>0</v>
      </c>
      <c r="J56" s="63">
        <f>SUMIF(Table1[No], A56, Table1[Total 2016])</f>
        <v>0</v>
      </c>
      <c r="K56" s="63">
        <f>SUMIF(Table1[No], A56, Table1[Total-2016])</f>
        <v>0</v>
      </c>
      <c r="L56" s="63">
        <f>Table2[[#This Row],[Prod/Area]]*Table2[[#This Row],[Area (km2)]]</f>
        <v>1017463.0374013999</v>
      </c>
      <c r="M56" s="63">
        <f>Table2[[#This Row],[Final Annual]]/365</f>
        <v>2787.5699654832874</v>
      </c>
      <c r="N56" s="63">
        <f>Table2[[#This Row],[Final Annual]]*$G$6</f>
        <v>39681058.458654597</v>
      </c>
      <c r="O56" s="63">
        <f>Table2[[#This Row],[Final Annual]]*$G$8</f>
        <v>28488965.047239199</v>
      </c>
      <c r="P56" s="64">
        <f>Table2[[#This Row],[Revenue]]-Table2[[#This Row],[Cost]]</f>
        <v>11192093.411415398</v>
      </c>
      <c r="Q56" s="65">
        <f t="shared" si="2"/>
        <v>520.64271772692985</v>
      </c>
      <c r="R56" s="64">
        <f>Table2[[#This Row],[Profit]]/Table2[[#This Row],[Area (km2)]]</f>
        <v>5727.069894996227</v>
      </c>
      <c r="S56" s="64">
        <f>Table2[[#This Row],[Profit]]/Table2[[#This Row],[Area (ha)]]</f>
        <v>57.270698949962274</v>
      </c>
      <c r="T56" s="64">
        <f>Table2[[#This Row],[Profit]]/Table2[[#This Row],[Pixels]]</f>
        <v>4938.1685505855439</v>
      </c>
      <c r="U56" s="63"/>
      <c r="V56" s="63"/>
      <c r="W56" s="63"/>
      <c r="X56" s="63"/>
      <c r="Y56" s="63"/>
      <c r="Z56" s="63"/>
      <c r="AA56" s="63"/>
    </row>
    <row r="57" spans="1:32" x14ac:dyDescent="0.3">
      <c r="A57" s="61">
        <v>76</v>
      </c>
      <c r="B57" s="61" t="s">
        <v>451</v>
      </c>
      <c r="C57" s="62" t="s">
        <v>585</v>
      </c>
      <c r="D57" s="62"/>
      <c r="E57" s="63">
        <v>1954.51179832</v>
      </c>
      <c r="F57" s="63">
        <f>Table2[[#This Row],[Area (km2)]]*100</f>
        <v>195451.17983199999</v>
      </c>
      <c r="G57" s="63">
        <f t="shared" si="1"/>
        <v>0.86225044239464377</v>
      </c>
      <c r="H57" s="63">
        <f>Table2[[#This Row],[Area (km2)]]/Table2[[#This Row],[Pixel Area (km^2)]]</f>
        <v>2266.7565039362876</v>
      </c>
      <c r="I57" s="63">
        <f>SUMIF(Table1[No], A57, Table1[Total 2015])</f>
        <v>0</v>
      </c>
      <c r="J57" s="66">
        <f>SUMIF(Table1[No], A57, Table1[Total 2016])</f>
        <v>0</v>
      </c>
      <c r="K57" s="66">
        <f>SUMIF(Table1[No], A57, Table1[Total-2016])</f>
        <v>0</v>
      </c>
      <c r="L57" s="63">
        <f>Table2[[#This Row],[Prod/Area]]*Table2[[#This Row],[Area (km2)]]</f>
        <v>1017602.3345066739</v>
      </c>
      <c r="M57" s="66">
        <f>Table2[[#This Row],[Final Annual]]/365</f>
        <v>2787.9516013881475</v>
      </c>
      <c r="N57" s="66">
        <f>Table2[[#This Row],[Final Annual]]*$G$6</f>
        <v>39686491.045760281</v>
      </c>
      <c r="O57" s="63">
        <f>Table2[[#This Row],[Final Annual]]*$G$8</f>
        <v>28492865.366186868</v>
      </c>
      <c r="P57" s="64">
        <f>Table2[[#This Row],[Revenue]]-Table2[[#This Row],[Cost]]</f>
        <v>11193625.679573413</v>
      </c>
      <c r="Q57" s="65">
        <f t="shared" si="2"/>
        <v>520.64271772692985</v>
      </c>
      <c r="R57" s="64">
        <f>Table2[[#This Row],[Profit]]/Table2[[#This Row],[Area (km2)]]</f>
        <v>5727.0698949962289</v>
      </c>
      <c r="S57" s="64">
        <f>Table2[[#This Row],[Profit]]/Table2[[#This Row],[Area (ha)]]</f>
        <v>57.270698949962288</v>
      </c>
      <c r="T57" s="64">
        <f>Table2[[#This Row],[Profit]]/Table2[[#This Row],[Pixels]]</f>
        <v>4938.1685505855439</v>
      </c>
      <c r="U57" s="63"/>
      <c r="V57" s="63"/>
      <c r="W57" s="63"/>
      <c r="X57" s="63"/>
      <c r="Y57" s="63"/>
      <c r="Z57" s="63"/>
      <c r="AA57" s="63"/>
    </row>
    <row r="58" spans="1:32" x14ac:dyDescent="0.3">
      <c r="A58" s="61">
        <v>77</v>
      </c>
      <c r="B58" s="61" t="s">
        <v>451</v>
      </c>
      <c r="C58" s="62" t="s">
        <v>406</v>
      </c>
      <c r="D58" s="62"/>
      <c r="E58" s="63">
        <v>1992.35378335</v>
      </c>
      <c r="F58" s="63">
        <f>Table2[[#This Row],[Area (km2)]]*100</f>
        <v>199235.37833499999</v>
      </c>
      <c r="G58" s="63">
        <f t="shared" si="1"/>
        <v>0.86225044239464377</v>
      </c>
      <c r="H58" s="63">
        <f>Table2[[#This Row],[Area (km2)]]/Table2[[#This Row],[Pixel Area (km^2)]]</f>
        <v>2310.6439676816294</v>
      </c>
      <c r="I58" s="63">
        <f>SUMIF(Table1[No], A58, Table1[Total 2015])</f>
        <v>0</v>
      </c>
      <c r="J58" s="66">
        <f>SUMIF(Table1[No], A58, Table1[Total 2016])</f>
        <v>0</v>
      </c>
      <c r="K58" s="66">
        <f>SUMIF(Table1[No], A58, Table1[Total-2016])</f>
        <v>0</v>
      </c>
      <c r="L58" s="63">
        <f>Table2[[#This Row],[Prod/Area]]*Table2[[#This Row],[Area (km2)]]</f>
        <v>1037304.4884368748</v>
      </c>
      <c r="M58" s="66">
        <f>Table2[[#This Row],[Final Annual]]/365</f>
        <v>2841.9301053065064</v>
      </c>
      <c r="N58" s="66">
        <f>Table2[[#This Row],[Final Annual]]*$G$6</f>
        <v>40454875.04903812</v>
      </c>
      <c r="O58" s="63">
        <f>Table2[[#This Row],[Final Annual]]*$G$8</f>
        <v>29044525.676232494</v>
      </c>
      <c r="P58" s="64">
        <f>Table2[[#This Row],[Revenue]]-Table2[[#This Row],[Cost]]</f>
        <v>11410349.372805625</v>
      </c>
      <c r="Q58" s="65">
        <f t="shared" si="2"/>
        <v>520.64271772692985</v>
      </c>
      <c r="R58" s="64">
        <f>Table2[[#This Row],[Profit]]/Table2[[#This Row],[Area (km2)]]</f>
        <v>5727.0698949962298</v>
      </c>
      <c r="S58" s="64">
        <f>Table2[[#This Row],[Profit]]/Table2[[#This Row],[Area (ha)]]</f>
        <v>57.270698949962302</v>
      </c>
      <c r="T58" s="64">
        <f>Table2[[#This Row],[Profit]]/Table2[[#This Row],[Pixels]]</f>
        <v>4938.1685505855448</v>
      </c>
      <c r="U58" s="63"/>
      <c r="V58" s="63"/>
      <c r="W58" s="63"/>
      <c r="X58" s="63"/>
      <c r="Y58" s="63"/>
      <c r="Z58" s="63"/>
      <c r="AA58" s="63"/>
    </row>
    <row r="59" spans="1:32" x14ac:dyDescent="0.3">
      <c r="A59" s="61">
        <v>78</v>
      </c>
      <c r="B59" s="61" t="s">
        <v>451</v>
      </c>
      <c r="C59" s="62" t="s">
        <v>407</v>
      </c>
      <c r="D59" s="62"/>
      <c r="E59" s="63">
        <v>1452.8348183099999</v>
      </c>
      <c r="F59" s="63">
        <f>Table2[[#This Row],[Area (km2)]]*100</f>
        <v>145283.48183099998</v>
      </c>
      <c r="G59" s="63">
        <f t="shared" si="1"/>
        <v>0.86225044239464377</v>
      </c>
      <c r="H59" s="63">
        <f>Table2[[#This Row],[Area (km2)]]/Table2[[#This Row],[Pixel Area (km^2)]]</f>
        <v>1684.9336884944751</v>
      </c>
      <c r="I59" s="63">
        <f>SUMIF(Table1[No], A59, Table1[Total 2015])</f>
        <v>0</v>
      </c>
      <c r="J59" s="66">
        <f>SUMIF(Table1[No], A59, Table1[Total 2016])</f>
        <v>0</v>
      </c>
      <c r="K59" s="66">
        <f>SUMIF(Table1[No], A59, Table1[Total-2016])</f>
        <v>0</v>
      </c>
      <c r="L59" s="63">
        <f>Table2[[#This Row],[Prod/Area]]*Table2[[#This Row],[Area (km2)]]</f>
        <v>756407.86821322876</v>
      </c>
      <c r="M59" s="66">
        <f>Table2[[#This Row],[Final Annual]]/365</f>
        <v>2072.3503238718595</v>
      </c>
      <c r="N59" s="66">
        <f>Table2[[#This Row],[Final Annual]]*$G$6</f>
        <v>29499906.860315923</v>
      </c>
      <c r="O59" s="63">
        <f>Table2[[#This Row],[Final Annual]]*$G$8</f>
        <v>21179420.309970405</v>
      </c>
      <c r="P59" s="64">
        <f>Table2[[#This Row],[Revenue]]-Table2[[#This Row],[Cost]]</f>
        <v>8320486.5503455177</v>
      </c>
      <c r="Q59" s="65">
        <f t="shared" si="2"/>
        <v>520.64271772692985</v>
      </c>
      <c r="R59" s="64">
        <f>Table2[[#This Row],[Profit]]/Table2[[#This Row],[Area (km2)]]</f>
        <v>5727.0698949962298</v>
      </c>
      <c r="S59" s="64">
        <f>Table2[[#This Row],[Profit]]/Table2[[#This Row],[Area (ha)]]</f>
        <v>57.270698949962302</v>
      </c>
      <c r="T59" s="64">
        <f>Table2[[#This Row],[Profit]]/Table2[[#This Row],[Pixels]]</f>
        <v>4938.1685505855448</v>
      </c>
      <c r="U59" s="63"/>
      <c r="V59" s="63"/>
      <c r="W59" s="63"/>
      <c r="X59" s="63"/>
      <c r="Y59" s="63"/>
      <c r="Z59" s="63"/>
      <c r="AA59" s="63"/>
    </row>
    <row r="60" spans="1:32" x14ac:dyDescent="0.3">
      <c r="A60" s="61">
        <v>79</v>
      </c>
      <c r="B60" s="61" t="s">
        <v>451</v>
      </c>
      <c r="C60" s="62" t="s">
        <v>404</v>
      </c>
      <c r="D60" s="62" t="s">
        <v>414</v>
      </c>
      <c r="E60" s="63">
        <v>1580.6649910399999</v>
      </c>
      <c r="F60" s="63">
        <f>Table2[[#This Row],[Area (km2)]]*100</f>
        <v>158066.49910399999</v>
      </c>
      <c r="G60" s="63">
        <f t="shared" si="1"/>
        <v>0.86225044239464377</v>
      </c>
      <c r="H60" s="63">
        <f>Table2[[#This Row],[Area (km2)]]/Table2[[#This Row],[Pixel Area (km^2)]]</f>
        <v>1833.1854799055525</v>
      </c>
      <c r="I60" s="63">
        <f>SUMIF(Table1[No], A60, Table1[Total 2015])</f>
        <v>0</v>
      </c>
      <c r="J60" s="63">
        <f>SUMIF(Table1[No], A60, Table1[Total 2016])</f>
        <v>0</v>
      </c>
      <c r="K60" s="63">
        <f>SUMIF(Table1[No], A60, Table1[Total-2016])</f>
        <v>0</v>
      </c>
      <c r="L60" s="63">
        <f>Table2[[#This Row],[Prod/Area]]*Table2[[#This Row],[Area (km2)]]</f>
        <v>822961.71675087872</v>
      </c>
      <c r="M60" s="63">
        <f>Table2[[#This Row],[Final Annual]]/365</f>
        <v>2254.6896349339145</v>
      </c>
      <c r="N60" s="63">
        <f>Table2[[#This Row],[Final Annual]]*$G$6</f>
        <v>32095506.953284271</v>
      </c>
      <c r="O60" s="63">
        <f>Table2[[#This Row],[Final Annual]]*$G$8</f>
        <v>23042928.069024604</v>
      </c>
      <c r="P60" s="64">
        <f>Table2[[#This Row],[Revenue]]-Table2[[#This Row],[Cost]]</f>
        <v>9052578.8842596672</v>
      </c>
      <c r="Q60" s="65">
        <f t="shared" si="2"/>
        <v>520.64271772692985</v>
      </c>
      <c r="R60" s="64">
        <f>Table2[[#This Row],[Profit]]/Table2[[#This Row],[Area (km2)]]</f>
        <v>5727.0698949962289</v>
      </c>
      <c r="S60" s="64">
        <f>Table2[[#This Row],[Profit]]/Table2[[#This Row],[Area (ha)]]</f>
        <v>57.270698949962288</v>
      </c>
      <c r="T60" s="64">
        <f>Table2[[#This Row],[Profit]]/Table2[[#This Row],[Pixels]]</f>
        <v>4938.1685505855439</v>
      </c>
      <c r="U60" s="63"/>
      <c r="V60" s="63"/>
      <c r="W60" s="63"/>
      <c r="X60" s="63"/>
      <c r="Y60" s="63"/>
      <c r="Z60" s="63"/>
      <c r="AA60" s="63"/>
    </row>
    <row r="61" spans="1:32" x14ac:dyDescent="0.3">
      <c r="A61" s="61">
        <v>80</v>
      </c>
      <c r="B61" s="61" t="s">
        <v>451</v>
      </c>
      <c r="C61" s="62" t="s">
        <v>390</v>
      </c>
      <c r="D61" s="62"/>
      <c r="E61" s="63">
        <v>1556.5789731</v>
      </c>
      <c r="F61" s="63">
        <f>Table2[[#This Row],[Area (km2)]]*100</f>
        <v>155657.89731</v>
      </c>
      <c r="G61" s="63">
        <f t="shared" si="1"/>
        <v>0.86225044239464377</v>
      </c>
      <c r="H61" s="63">
        <f>Table2[[#This Row],[Area (km2)]]/Table2[[#This Row],[Pixel Area (km^2)]]</f>
        <v>1805.2515795492845</v>
      </c>
      <c r="I61" s="63">
        <f>SUMIF(Table1[No], A61, Table1[Total 2015])</f>
        <v>0</v>
      </c>
      <c r="J61" s="66">
        <f>SUMIF(Table1[No], A61, Table1[Total 2016])</f>
        <v>0</v>
      </c>
      <c r="K61" s="66">
        <f>SUMIF(Table1[No], A61, Table1[Total-2016])</f>
        <v>0</v>
      </c>
      <c r="L61" s="63">
        <f>Table2[[#This Row],[Prod/Area]]*Table2[[#This Row],[Area (km2)]]</f>
        <v>810421.50691137766</v>
      </c>
      <c r="M61" s="66">
        <f>Table2[[#This Row],[Final Annual]]/365</f>
        <v>2220.3328956476098</v>
      </c>
      <c r="N61" s="66">
        <f>Table2[[#This Row],[Final Annual]]*$G$6</f>
        <v>31606438.76954373</v>
      </c>
      <c r="O61" s="63">
        <f>Table2[[#This Row],[Final Annual]]*$G$8</f>
        <v>22691802.193518575</v>
      </c>
      <c r="P61" s="64">
        <f>Table2[[#This Row],[Revenue]]-Table2[[#This Row],[Cost]]</f>
        <v>8914636.5760251544</v>
      </c>
      <c r="Q61" s="65">
        <f t="shared" si="2"/>
        <v>520.64271772692985</v>
      </c>
      <c r="R61" s="64">
        <f>Table2[[#This Row],[Profit]]/Table2[[#This Row],[Area (km2)]]</f>
        <v>5727.0698949962289</v>
      </c>
      <c r="S61" s="64">
        <f>Table2[[#This Row],[Profit]]/Table2[[#This Row],[Area (ha)]]</f>
        <v>57.270698949962288</v>
      </c>
      <c r="T61" s="64">
        <f>Table2[[#This Row],[Profit]]/Table2[[#This Row],[Pixels]]</f>
        <v>4938.1685505855439</v>
      </c>
      <c r="U61" s="63"/>
      <c r="V61" s="63"/>
      <c r="W61" s="63"/>
      <c r="X61" s="63"/>
      <c r="Y61" s="63"/>
      <c r="Z61" s="63"/>
      <c r="AA61" s="63"/>
    </row>
    <row r="62" spans="1:32" x14ac:dyDescent="0.3">
      <c r="A62" s="61">
        <v>81</v>
      </c>
      <c r="B62" s="61" t="s">
        <v>451</v>
      </c>
      <c r="C62" s="62" t="s">
        <v>391</v>
      </c>
      <c r="D62" s="62"/>
      <c r="E62" s="63">
        <v>1305.2854024999999</v>
      </c>
      <c r="F62" s="63">
        <f>Table2[[#This Row],[Area (km2)]]*100</f>
        <v>130528.54024999999</v>
      </c>
      <c r="G62" s="63">
        <f t="shared" si="1"/>
        <v>0.86225044239464377</v>
      </c>
      <c r="H62" s="63">
        <f>Table2[[#This Row],[Area (km2)]]/Table2[[#This Row],[Pixel Area (km^2)]]</f>
        <v>1513.8123894433252</v>
      </c>
      <c r="I62" s="63">
        <f>SUMIF(Table1[No], A62, Table1[Total 2015])</f>
        <v>0</v>
      </c>
      <c r="J62" s="66">
        <f>SUMIF(Table1[No], A62, Table1[Total 2016])</f>
        <v>0</v>
      </c>
      <c r="K62" s="66">
        <f>SUMIF(Table1[No], A62, Table1[Total-2016])</f>
        <v>0</v>
      </c>
      <c r="L62" s="63">
        <f>Table2[[#This Row],[Prod/Area]]*Table2[[#This Row],[Area (km2)]]</f>
        <v>679587.33936688944</v>
      </c>
      <c r="M62" s="66">
        <f>Table2[[#This Row],[Final Annual]]/365</f>
        <v>1861.8831215531218</v>
      </c>
      <c r="N62" s="66">
        <f>Table2[[#This Row],[Final Annual]]*$G$6</f>
        <v>26503906.235308688</v>
      </c>
      <c r="O62" s="63">
        <f>Table2[[#This Row],[Final Annual]]*$G$8</f>
        <v>19028445.502272904</v>
      </c>
      <c r="P62" s="64">
        <f>Table2[[#This Row],[Revenue]]-Table2[[#This Row],[Cost]]</f>
        <v>7475460.7330357842</v>
      </c>
      <c r="Q62" s="65">
        <f t="shared" si="2"/>
        <v>520.64271772692985</v>
      </c>
      <c r="R62" s="64">
        <f>Table2[[#This Row],[Profit]]/Table2[[#This Row],[Area (km2)]]</f>
        <v>5727.069894996228</v>
      </c>
      <c r="S62" s="64">
        <f>Table2[[#This Row],[Profit]]/Table2[[#This Row],[Area (ha)]]</f>
        <v>57.270698949962281</v>
      </c>
      <c r="T62" s="64">
        <f>Table2[[#This Row],[Profit]]/Table2[[#This Row],[Pixels]]</f>
        <v>4938.1685505855439</v>
      </c>
      <c r="U62" s="63"/>
      <c r="V62" s="63"/>
      <c r="W62" s="63"/>
      <c r="X62" s="63"/>
      <c r="Y62" s="63"/>
      <c r="Z62" s="63"/>
      <c r="AA62" s="63"/>
    </row>
    <row r="63" spans="1:32" x14ac:dyDescent="0.3">
      <c r="A63" s="61">
        <v>82</v>
      </c>
      <c r="B63" s="61" t="s">
        <v>451</v>
      </c>
      <c r="C63" s="62" t="s">
        <v>392</v>
      </c>
      <c r="D63" s="62"/>
      <c r="E63" s="63">
        <v>1563.9850724099999</v>
      </c>
      <c r="F63" s="63">
        <f>Table2[[#This Row],[Area (km2)]]*100</f>
        <v>156398.50724099998</v>
      </c>
      <c r="G63" s="63">
        <f t="shared" si="1"/>
        <v>0.86225044239464377</v>
      </c>
      <c r="H63" s="63">
        <f>Table2[[#This Row],[Area (km2)]]/Table2[[#This Row],[Pixel Area (km^2)]]</f>
        <v>1813.8408465949838</v>
      </c>
      <c r="I63" s="63">
        <f>SUMIF(Table1[No], A63, Table1[Total 2015])</f>
        <v>0</v>
      </c>
      <c r="J63" s="66">
        <f>SUMIF(Table1[No], A63, Table1[Total 2016])</f>
        <v>0</v>
      </c>
      <c r="K63" s="66">
        <f>SUMIF(Table1[No], A63, Table1[Total-2016])</f>
        <v>0</v>
      </c>
      <c r="L63" s="63">
        <f>Table2[[#This Row],[Prod/Area]]*Table2[[#This Row],[Area (km2)]]</f>
        <v>814277.43858389149</v>
      </c>
      <c r="M63" s="66">
        <f>Table2[[#This Row],[Final Annual]]/365</f>
        <v>2230.8970920106617</v>
      </c>
      <c r="N63" s="66">
        <f>Table2[[#This Row],[Final Annual]]*$G$6</f>
        <v>31756820.104771767</v>
      </c>
      <c r="O63" s="63">
        <f>Table2[[#This Row],[Final Annual]]*$G$8</f>
        <v>22799768.28034896</v>
      </c>
      <c r="P63" s="64">
        <f>Table2[[#This Row],[Revenue]]-Table2[[#This Row],[Cost]]</f>
        <v>8957051.8244228065</v>
      </c>
      <c r="Q63" s="65">
        <f t="shared" si="2"/>
        <v>520.64271772692985</v>
      </c>
      <c r="R63" s="64">
        <f>Table2[[#This Row],[Profit]]/Table2[[#This Row],[Area (km2)]]</f>
        <v>5727.069894996228</v>
      </c>
      <c r="S63" s="64">
        <f>Table2[[#This Row],[Profit]]/Table2[[#This Row],[Area (ha)]]</f>
        <v>57.270698949962281</v>
      </c>
      <c r="T63" s="64">
        <f>Table2[[#This Row],[Profit]]/Table2[[#This Row],[Pixels]]</f>
        <v>4938.1685505855439</v>
      </c>
      <c r="U63" s="63"/>
      <c r="V63" s="63"/>
      <c r="W63" s="63"/>
      <c r="X63" s="63"/>
      <c r="Y63" s="63"/>
      <c r="Z63" s="63"/>
      <c r="AA63" s="63"/>
    </row>
    <row r="64" spans="1:32" x14ac:dyDescent="0.3">
      <c r="A64" s="61">
        <v>83</v>
      </c>
      <c r="B64" s="61" t="s">
        <v>451</v>
      </c>
      <c r="C64" s="62" t="s">
        <v>405</v>
      </c>
      <c r="D64" s="62" t="s">
        <v>414</v>
      </c>
      <c r="E64" s="63">
        <v>1469.27679831</v>
      </c>
      <c r="F64" s="63">
        <f>Table2[[#This Row],[Area (km2)]]*100</f>
        <v>146927.67983099999</v>
      </c>
      <c r="G64" s="63">
        <f t="shared" si="1"/>
        <v>0.86225044239464377</v>
      </c>
      <c r="H64" s="63">
        <f>Table2[[#This Row],[Area (km2)]]/Table2[[#This Row],[Pixel Area (km^2)]]</f>
        <v>1704.0023710855066</v>
      </c>
      <c r="I64" s="63">
        <f>SUMIF(Table1[No], A64, Table1[Total 2015])</f>
        <v>0</v>
      </c>
      <c r="J64" s="63">
        <f>SUMIF(Table1[No], A64, Table1[Total 2016])</f>
        <v>0</v>
      </c>
      <c r="K64" s="63">
        <f>SUMIF(Table1[No], A64, Table1[Total-2016])</f>
        <v>0</v>
      </c>
      <c r="L64" s="63">
        <f>Table2[[#This Row],[Prod/Area]]*Table2[[#This Row],[Area (km2)]]</f>
        <v>764968.26536524051</v>
      </c>
      <c r="M64" s="63">
        <f>Table2[[#This Row],[Final Annual]]/365</f>
        <v>2095.8034667540837</v>
      </c>
      <c r="N64" s="63">
        <f>Table2[[#This Row],[Final Annual]]*$G$6</f>
        <v>29833762.349244379</v>
      </c>
      <c r="O64" s="63">
        <f>Table2[[#This Row],[Final Annual]]*$G$8</f>
        <v>21419111.430226736</v>
      </c>
      <c r="P64" s="64">
        <f>Table2[[#This Row],[Revenue]]-Table2[[#This Row],[Cost]]</f>
        <v>8414650.9190176427</v>
      </c>
      <c r="Q64" s="65">
        <f t="shared" si="2"/>
        <v>520.64271772692985</v>
      </c>
      <c r="R64" s="64">
        <f>Table2[[#This Row],[Profit]]/Table2[[#This Row],[Area (km2)]]</f>
        <v>5727.0698949962261</v>
      </c>
      <c r="S64" s="64">
        <f>Table2[[#This Row],[Profit]]/Table2[[#This Row],[Area (ha)]]</f>
        <v>57.270698949962267</v>
      </c>
      <c r="T64" s="64">
        <f>Table2[[#This Row],[Profit]]/Table2[[#This Row],[Pixels]]</f>
        <v>4938.1685505855421</v>
      </c>
      <c r="U64" s="63"/>
      <c r="V64" s="63"/>
      <c r="W64" s="63"/>
      <c r="X64" s="63"/>
      <c r="Y64" s="63"/>
      <c r="Z64" s="63"/>
      <c r="AA64" s="63"/>
    </row>
    <row r="65" spans="1:27" x14ac:dyDescent="0.3">
      <c r="A65" s="61">
        <v>84</v>
      </c>
      <c r="B65" s="61" t="s">
        <v>451</v>
      </c>
      <c r="C65" s="62" t="s">
        <v>398</v>
      </c>
      <c r="D65" s="62"/>
      <c r="E65" s="63">
        <v>1701.22727321</v>
      </c>
      <c r="F65" s="63">
        <f>Table2[[#This Row],[Area (km2)]]*100</f>
        <v>170122.72732100001</v>
      </c>
      <c r="G65" s="63">
        <f t="shared" si="1"/>
        <v>0.86225044239464377</v>
      </c>
      <c r="H65" s="63">
        <f>Table2[[#This Row],[Area (km2)]]/Table2[[#This Row],[Pixel Area (km^2)]]</f>
        <v>1973.0082926781088</v>
      </c>
      <c r="I65" s="63">
        <f>SUMIF(Table1[No], A65, Table1[Total 2015])</f>
        <v>0</v>
      </c>
      <c r="J65" s="66">
        <f>SUMIF(Table1[No], A65, Table1[Total 2016])</f>
        <v>0</v>
      </c>
      <c r="K65" s="66">
        <f>SUMIF(Table1[No], A65, Table1[Total-2016])</f>
        <v>0</v>
      </c>
      <c r="L65" s="63">
        <f>Table2[[#This Row],[Prod/Area]]*Table2[[#This Row],[Area (km2)]]</f>
        <v>885731.59099522862</v>
      </c>
      <c r="M65" s="66">
        <f>Table2[[#This Row],[Final Annual]]/365</f>
        <v>2426.6618931376124</v>
      </c>
      <c r="N65" s="66">
        <f>Table2[[#This Row],[Final Annual]]*$G$6</f>
        <v>34543532.048813917</v>
      </c>
      <c r="O65" s="63">
        <f>Table2[[#This Row],[Final Annual]]*$G$8</f>
        <v>24800484.5478664</v>
      </c>
      <c r="P65" s="64">
        <f>Table2[[#This Row],[Revenue]]-Table2[[#This Row],[Cost]]</f>
        <v>9743047.5009475164</v>
      </c>
      <c r="Q65" s="65">
        <f t="shared" si="2"/>
        <v>520.64271772692985</v>
      </c>
      <c r="R65" s="64">
        <f>Table2[[#This Row],[Profit]]/Table2[[#This Row],[Area (km2)]]</f>
        <v>5727.0698949962298</v>
      </c>
      <c r="S65" s="64">
        <f>Table2[[#This Row],[Profit]]/Table2[[#This Row],[Area (ha)]]</f>
        <v>57.270698949962288</v>
      </c>
      <c r="T65" s="64">
        <f>Table2[[#This Row],[Profit]]/Table2[[#This Row],[Pixels]]</f>
        <v>4938.1685505855448</v>
      </c>
      <c r="U65" s="63"/>
      <c r="V65" s="63"/>
      <c r="W65" s="63"/>
      <c r="X65" s="63"/>
      <c r="Y65" s="63"/>
      <c r="Z65" s="63"/>
      <c r="AA65" s="63"/>
    </row>
    <row r="66" spans="1:27" x14ac:dyDescent="0.3">
      <c r="A66" s="61">
        <v>85</v>
      </c>
      <c r="B66" s="61" t="s">
        <v>451</v>
      </c>
      <c r="C66" s="62" t="s">
        <v>399</v>
      </c>
      <c r="D66" s="62"/>
      <c r="E66" s="63">
        <v>1310.01401035</v>
      </c>
      <c r="F66" s="63">
        <f>Table2[[#This Row],[Area (km2)]]*100</f>
        <v>131001.401035</v>
      </c>
      <c r="G66" s="63">
        <f t="shared" si="1"/>
        <v>0.86225044239464377</v>
      </c>
      <c r="H66" s="63">
        <f>Table2[[#This Row],[Area (km2)]]/Table2[[#This Row],[Pixel Area (km^2)]]</f>
        <v>1519.2964200886072</v>
      </c>
      <c r="I66" s="63">
        <f>SUMIF(Table1[No], A66, Table1[Total 2015])</f>
        <v>0</v>
      </c>
      <c r="J66" s="66">
        <f>SUMIF(Table1[No], A66, Table1[Total 2016])</f>
        <v>0</v>
      </c>
      <c r="K66" s="66">
        <f>SUMIF(Table1[No], A66, Table1[Total-2016])</f>
        <v>0</v>
      </c>
      <c r="L66" s="63">
        <f>Table2[[#This Row],[Prod/Area]]*Table2[[#This Row],[Area (km2)]]</f>
        <v>682049.2546089784</v>
      </c>
      <c r="M66" s="66">
        <f>Table2[[#This Row],[Final Annual]]/365</f>
        <v>1868.6280948191188</v>
      </c>
      <c r="N66" s="66">
        <f>Table2[[#This Row],[Final Annual]]*$G$6</f>
        <v>26599920.929750159</v>
      </c>
      <c r="O66" s="63">
        <f>Table2[[#This Row],[Final Annual]]*$G$8</f>
        <v>19097379.129051395</v>
      </c>
      <c r="P66" s="64">
        <f>Table2[[#This Row],[Revenue]]-Table2[[#This Row],[Cost]]</f>
        <v>7502541.8006987646</v>
      </c>
      <c r="Q66" s="65">
        <f t="shared" si="2"/>
        <v>520.64271772692985</v>
      </c>
      <c r="R66" s="64">
        <f>Table2[[#This Row],[Profit]]/Table2[[#This Row],[Area (km2)]]</f>
        <v>5727.0698949962298</v>
      </c>
      <c r="S66" s="64">
        <f>Table2[[#This Row],[Profit]]/Table2[[#This Row],[Area (ha)]]</f>
        <v>57.270698949962302</v>
      </c>
      <c r="T66" s="64">
        <f>Table2[[#This Row],[Profit]]/Table2[[#This Row],[Pixels]]</f>
        <v>4938.1685505855448</v>
      </c>
      <c r="U66" s="63"/>
      <c r="V66" s="63"/>
      <c r="W66" s="63"/>
      <c r="X66" s="63"/>
      <c r="Y66" s="63"/>
      <c r="Z66" s="63"/>
      <c r="AA66" s="63"/>
    </row>
    <row r="67" spans="1:27" x14ac:dyDescent="0.3">
      <c r="A67" s="61">
        <v>86</v>
      </c>
      <c r="B67" s="61" t="s">
        <v>451</v>
      </c>
      <c r="C67" s="62" t="s">
        <v>400</v>
      </c>
      <c r="D67" s="62"/>
      <c r="E67" s="63">
        <v>1605.8551203699999</v>
      </c>
      <c r="F67" s="63">
        <f>Table2[[#This Row],[Area (km2)]]*100</f>
        <v>160585.51203699998</v>
      </c>
      <c r="G67" s="63">
        <f t="shared" si="1"/>
        <v>0.86225044239464377</v>
      </c>
      <c r="H67" s="63">
        <f>Table2[[#This Row],[Area (km2)]]/Table2[[#This Row],[Pixel Area (km^2)]]</f>
        <v>1862.3998799121698</v>
      </c>
      <c r="I67" s="63">
        <f>SUMIF(Table1[No], A67, Table1[Total 2015])</f>
        <v>0</v>
      </c>
      <c r="J67" s="66">
        <f>SUMIF(Table1[No], A67, Table1[Total 2016])</f>
        <v>0</v>
      </c>
      <c r="K67" s="66">
        <f>SUMIF(Table1[No], A67, Table1[Total-2016])</f>
        <v>0</v>
      </c>
      <c r="L67" s="63">
        <f>Table2[[#This Row],[Prod/Area]]*Table2[[#This Row],[Area (km2)]]</f>
        <v>836076.77414514276</v>
      </c>
      <c r="M67" s="66">
        <f>Table2[[#This Row],[Final Annual]]/365</f>
        <v>2290.6212990277882</v>
      </c>
      <c r="N67" s="66">
        <f>Table2[[#This Row],[Final Annual]]*$G$6</f>
        <v>32606994.191660568</v>
      </c>
      <c r="O67" s="63">
        <f>Table2[[#This Row],[Final Annual]]*$G$8</f>
        <v>23410149.676063996</v>
      </c>
      <c r="P67" s="64">
        <f>Table2[[#This Row],[Revenue]]-Table2[[#This Row],[Cost]]</f>
        <v>9196844.5155965723</v>
      </c>
      <c r="Q67" s="65">
        <f t="shared" si="2"/>
        <v>520.64271772692985</v>
      </c>
      <c r="R67" s="64">
        <f>Table2[[#This Row],[Profit]]/Table2[[#This Row],[Area (km2)]]</f>
        <v>5727.0698949962289</v>
      </c>
      <c r="S67" s="64">
        <f>Table2[[#This Row],[Profit]]/Table2[[#This Row],[Area (ha)]]</f>
        <v>57.270698949962295</v>
      </c>
      <c r="T67" s="64">
        <f>Table2[[#This Row],[Profit]]/Table2[[#This Row],[Pixels]]</f>
        <v>4938.1685505855448</v>
      </c>
      <c r="U67" s="63"/>
      <c r="V67" s="63"/>
      <c r="W67" s="63"/>
      <c r="X67" s="63"/>
      <c r="Y67" s="63"/>
      <c r="Z67" s="63"/>
      <c r="AA67" s="63"/>
    </row>
    <row r="68" spans="1:27" x14ac:dyDescent="0.3">
      <c r="A68" s="61">
        <v>87</v>
      </c>
      <c r="B68" s="61" t="s">
        <v>451</v>
      </c>
      <c r="C68" s="62" t="s">
        <v>401</v>
      </c>
      <c r="D68" s="62"/>
      <c r="E68" s="63">
        <v>1534.5413511700001</v>
      </c>
      <c r="F68" s="63">
        <f>Table2[[#This Row],[Area (km2)]]*100</f>
        <v>153454.135117</v>
      </c>
      <c r="G68" s="63">
        <f t="shared" si="1"/>
        <v>0.86225044239464377</v>
      </c>
      <c r="H68" s="63">
        <f>Table2[[#This Row],[Area (km2)]]/Table2[[#This Row],[Pixel Area (km^2)]]</f>
        <v>1779.6933184612449</v>
      </c>
      <c r="I68" s="63">
        <f>SUMIF(Table1[No], A68, Table1[Total 2015])</f>
        <v>0</v>
      </c>
      <c r="J68" s="66">
        <f>SUMIF(Table1[No], A68, Table1[Total 2016])</f>
        <v>0</v>
      </c>
      <c r="K68" s="66">
        <f>SUMIF(Table1[No], A68, Table1[Total-2016])</f>
        <v>0</v>
      </c>
      <c r="L68" s="63">
        <f>Table2[[#This Row],[Prod/Area]]*Table2[[#This Row],[Area (km2)]]</f>
        <v>798947.77953750384</v>
      </c>
      <c r="M68" s="66">
        <f>Table2[[#This Row],[Final Annual]]/365</f>
        <v>2188.8980261301476</v>
      </c>
      <c r="N68" s="66">
        <f>Table2[[#This Row],[Final Annual]]*$G$6</f>
        <v>31158963.401962649</v>
      </c>
      <c r="O68" s="63">
        <f>Table2[[#This Row],[Final Annual]]*$G$8</f>
        <v>22370537.827050108</v>
      </c>
      <c r="P68" s="64">
        <f>Table2[[#This Row],[Revenue]]-Table2[[#This Row],[Cost]]</f>
        <v>8788425.5749125406</v>
      </c>
      <c r="Q68" s="65">
        <f t="shared" si="2"/>
        <v>520.64271772692985</v>
      </c>
      <c r="R68" s="64">
        <f>Table2[[#This Row],[Profit]]/Table2[[#This Row],[Area (km2)]]</f>
        <v>5727.069894996227</v>
      </c>
      <c r="S68" s="64">
        <f>Table2[[#This Row],[Profit]]/Table2[[#This Row],[Area (ha)]]</f>
        <v>57.270698949962274</v>
      </c>
      <c r="T68" s="64">
        <f>Table2[[#This Row],[Profit]]/Table2[[#This Row],[Pixels]]</f>
        <v>4938.168550585543</v>
      </c>
      <c r="U68" s="63"/>
      <c r="V68" s="63"/>
      <c r="W68" s="63"/>
      <c r="X68" s="63"/>
      <c r="Y68" s="63"/>
      <c r="Z68" s="63"/>
      <c r="AA68" s="63"/>
    </row>
    <row r="69" spans="1:27" s="77" customFormat="1" x14ac:dyDescent="0.3">
      <c r="A69" s="77">
        <v>101</v>
      </c>
      <c r="C69" s="77" t="s">
        <v>620</v>
      </c>
      <c r="D69" s="77" t="s">
        <v>621</v>
      </c>
      <c r="E69" s="77">
        <v>253.33880589569944</v>
      </c>
      <c r="F69" s="77">
        <f>Table2[[#This Row],[Area (km2)]]*100</f>
        <v>25333.880589569944</v>
      </c>
      <c r="G69" s="77">
        <f>0.928574414031877^2</f>
        <v>0.86225044239464377</v>
      </c>
      <c r="H69" s="77">
        <f>Table2[[#This Row],[Area (km2)]]/Table2[[#This Row],[Pixel Area (km^2)]]</f>
        <v>293.81116371726802</v>
      </c>
      <c r="I69" s="77">
        <f>SUMIF(Table1[No], A69, Table1[Total 2015])</f>
        <v>0</v>
      </c>
      <c r="J69" s="77">
        <f>SUMIF(Table1[No], A69, Table1[Total 2016])</f>
        <v>0</v>
      </c>
      <c r="K69" s="77">
        <f>SUMIF(Table1[No], A69, Table1[Total-2016])</f>
        <v>0</v>
      </c>
      <c r="L69" s="77">
        <f>Table2[[#This Row],[Total-2016]]</f>
        <v>0</v>
      </c>
      <c r="M69" s="77">
        <f>Table2[[#This Row],[Final Annual]]/365</f>
        <v>0</v>
      </c>
      <c r="N69" s="77">
        <f>Table2[[#This Row],[Final Annual]]*$G$6</f>
        <v>0</v>
      </c>
      <c r="O69" s="77">
        <f>Table2[[#This Row],[Final Annual]]*$G$7</f>
        <v>0</v>
      </c>
      <c r="P69" s="70">
        <f>Table2[[#This Row],[$/km2]]*Table2[[#This Row],[Area (km2)]]</f>
        <v>506677.6117913989</v>
      </c>
      <c r="Q69" s="71">
        <f>Table2[[#This Row],[Final Annual]]/Table2[[#This Row],[Area (km2)]]</f>
        <v>0</v>
      </c>
      <c r="R69" s="70">
        <v>2000</v>
      </c>
      <c r="S69" s="70">
        <f>Table2[[#This Row],[Profit]]/Table2[[#This Row],[Area (ha)]]</f>
        <v>20</v>
      </c>
      <c r="T69" s="70">
        <f>Table2[[#This Row],[Profit]]/Table2[[#This Row],[Pixels]]</f>
        <v>1724.5008847892875</v>
      </c>
    </row>
    <row r="70" spans="1:27" s="77" customFormat="1" x14ac:dyDescent="0.3">
      <c r="A70" s="77">
        <v>102</v>
      </c>
      <c r="C70" s="77" t="s">
        <v>622</v>
      </c>
      <c r="D70" s="77" t="s">
        <v>623</v>
      </c>
      <c r="E70" s="77">
        <v>8718.2588145484751</v>
      </c>
      <c r="F70" s="77">
        <f>Table2[[#This Row],[Area (km2)]]*100</f>
        <v>871825.88145484752</v>
      </c>
      <c r="G70" s="77">
        <f>0.928574414031877^2</f>
        <v>0.86225044239464377</v>
      </c>
      <c r="H70" s="77">
        <f>Table2[[#This Row],[Area (km2)]]/Table2[[#This Row],[Pixel Area (km^2)]]</f>
        <v>10111.051715248888</v>
      </c>
      <c r="I70" s="77">
        <f>SUMIF(Table1[No], A70, Table1[Total 2015])</f>
        <v>0</v>
      </c>
      <c r="J70" s="77">
        <f>SUMIF(Table1[No], A70, Table1[Total 2016])</f>
        <v>0</v>
      </c>
      <c r="K70" s="77">
        <f>SUMIF(Table1[No], A70, Table1[Total-2016])</f>
        <v>0</v>
      </c>
      <c r="L70" s="77">
        <f>Table2[[#This Row],[Total-2016]]</f>
        <v>0</v>
      </c>
      <c r="M70" s="77">
        <f>Table2[[#This Row],[Final Annual]]/365</f>
        <v>0</v>
      </c>
      <c r="N70" s="77">
        <f>Table2[[#This Row],[Final Annual]]*$G$6</f>
        <v>0</v>
      </c>
      <c r="O70" s="77">
        <f>Table2[[#This Row],[Final Annual]]*$G$7</f>
        <v>0</v>
      </c>
      <c r="P70" s="70">
        <f>Table2[[#This Row],[$/km2]]*Table2[[#This Row],[Area (km2)]]</f>
        <v>17436517.629096951</v>
      </c>
      <c r="Q70" s="71">
        <f>Table2[[#This Row],[Final Annual]]/Table2[[#This Row],[Area (km2)]]</f>
        <v>0</v>
      </c>
      <c r="R70" s="70">
        <v>2000</v>
      </c>
      <c r="S70" s="70">
        <f>Table2[[#This Row],[Profit]]/Table2[[#This Row],[Area (ha)]]</f>
        <v>20</v>
      </c>
      <c r="T70" s="70">
        <f>Table2[[#This Row],[Profit]]/Table2[[#This Row],[Pixels]]</f>
        <v>1724.5008847892875</v>
      </c>
    </row>
    <row r="71" spans="1:27" s="77" customFormat="1" x14ac:dyDescent="0.3">
      <c r="A71" s="77">
        <v>103</v>
      </c>
      <c r="C71" s="77" t="s">
        <v>624</v>
      </c>
      <c r="D71" s="77" t="s">
        <v>623</v>
      </c>
      <c r="E71" s="77">
        <v>4758.8496556789614</v>
      </c>
      <c r="F71" s="77">
        <f>Table2[[#This Row],[Area (km2)]]*100</f>
        <v>475884.96556789614</v>
      </c>
      <c r="G71" s="77">
        <f>0.928574414031877^2</f>
        <v>0.86225044239464377</v>
      </c>
      <c r="H71" s="77">
        <f>Table2[[#This Row],[Area (km2)]]/Table2[[#This Row],[Pixel Area (km^2)]]</f>
        <v>5519.1037565172755</v>
      </c>
      <c r="I71" s="77">
        <f>SUMIF(Table1[No], A71, Table1[Total 2015])</f>
        <v>0</v>
      </c>
      <c r="J71" s="77">
        <f>SUMIF(Table1[No], A71, Table1[Total 2016])</f>
        <v>0</v>
      </c>
      <c r="K71" s="77">
        <f>SUMIF(Table1[No], A71, Table1[Total-2016])</f>
        <v>0</v>
      </c>
      <c r="L71" s="77">
        <f>Table2[[#This Row],[Total-2016]]</f>
        <v>0</v>
      </c>
      <c r="M71" s="77">
        <f>Table2[[#This Row],[Final Annual]]/365</f>
        <v>0</v>
      </c>
      <c r="N71" s="77">
        <f>Table2[[#This Row],[Final Annual]]*$G$6</f>
        <v>0</v>
      </c>
      <c r="O71" s="77">
        <f>Table2[[#This Row],[Final Annual]]*$G$7</f>
        <v>0</v>
      </c>
      <c r="P71" s="70">
        <f>Table2[[#This Row],[$/km2]]*Table2[[#This Row],[Area (km2)]]</f>
        <v>9517699.3113579229</v>
      </c>
      <c r="Q71" s="71">
        <f>Table2[[#This Row],[Final Annual]]/Table2[[#This Row],[Area (km2)]]</f>
        <v>0</v>
      </c>
      <c r="R71" s="70">
        <v>2000</v>
      </c>
      <c r="S71" s="70">
        <f>Table2[[#This Row],[Profit]]/Table2[[#This Row],[Area (ha)]]</f>
        <v>20</v>
      </c>
      <c r="T71" s="70">
        <f>Table2[[#This Row],[Profit]]/Table2[[#This Row],[Pixels]]</f>
        <v>1724.5008847892877</v>
      </c>
    </row>
    <row r="72" spans="1:27" s="77" customFormat="1" x14ac:dyDescent="0.3">
      <c r="A72" s="77">
        <v>104</v>
      </c>
      <c r="C72" s="77" t="s">
        <v>625</v>
      </c>
      <c r="D72" s="77" t="s">
        <v>623</v>
      </c>
      <c r="E72" s="77">
        <v>267.94983599065199</v>
      </c>
      <c r="F72" s="77">
        <f>Table2[[#This Row],[Area (km2)]]*100</f>
        <v>26794.983599065199</v>
      </c>
      <c r="G72" s="77">
        <f>0.928574414031877^2</f>
        <v>0.86225044239464377</v>
      </c>
      <c r="H72" s="77">
        <f>Table2[[#This Row],[Area (km2)]]/Table2[[#This Row],[Pixel Area (km^2)]]</f>
        <v>310.75639143367806</v>
      </c>
      <c r="I72" s="77">
        <f>SUMIF(Table1[No], A72, Table1[Total 2015])</f>
        <v>0</v>
      </c>
      <c r="J72" s="77">
        <f>SUMIF(Table1[No], A72, Table1[Total 2016])</f>
        <v>0</v>
      </c>
      <c r="K72" s="77">
        <f>SUMIF(Table1[No], A72, Table1[Total-2016])</f>
        <v>0</v>
      </c>
      <c r="L72" s="77">
        <f>Table2[[#This Row],[Total-2016]]</f>
        <v>0</v>
      </c>
      <c r="M72" s="77">
        <f>Table2[[#This Row],[Final Annual]]/365</f>
        <v>0</v>
      </c>
      <c r="N72" s="77">
        <f>Table2[[#This Row],[Final Annual]]*$G$6</f>
        <v>0</v>
      </c>
      <c r="O72" s="77">
        <f>Table2[[#This Row],[Final Annual]]*$G$7</f>
        <v>0</v>
      </c>
      <c r="P72" s="70">
        <f>Table2[[#This Row],[$/km2]]*Table2[[#This Row],[Area (km2)]]</f>
        <v>535899.67198130395</v>
      </c>
      <c r="Q72" s="71">
        <f>Table2[[#This Row],[Final Annual]]/Table2[[#This Row],[Area (km2)]]</f>
        <v>0</v>
      </c>
      <c r="R72" s="70">
        <v>2000</v>
      </c>
      <c r="S72" s="70">
        <f>Table2[[#This Row],[Profit]]/Table2[[#This Row],[Area (ha)]]</f>
        <v>20</v>
      </c>
      <c r="T72" s="70">
        <f>Table2[[#This Row],[Profit]]/Table2[[#This Row],[Pixels]]</f>
        <v>1724.5008847892875</v>
      </c>
    </row>
    <row r="73" spans="1:27" x14ac:dyDescent="0.3">
      <c r="A73" s="38" t="s">
        <v>448</v>
      </c>
      <c r="C73" s="38"/>
      <c r="D73" s="38"/>
      <c r="E73" s="38"/>
      <c r="F73" s="38"/>
      <c r="G73" s="38"/>
      <c r="H73" s="38"/>
      <c r="L73" s="55">
        <f>SUBTOTAL(109,Table2[Final Annual])</f>
        <v>338995427.03000009</v>
      </c>
      <c r="M73" s="55">
        <f>SUBTOTAL(109,Table2[Final Daily])</f>
        <v>928754.59460273955</v>
      </c>
      <c r="N73" s="54">
        <f>SUBTOTAL(109,Table2[Revenue])</f>
        <v>13220821654.170004</v>
      </c>
      <c r="O73" s="54"/>
      <c r="P73" s="54">
        <f>SUBTOTAL(109,Table2[Profit])</f>
        <v>4438429242.9535275</v>
      </c>
      <c r="Q73" s="57"/>
      <c r="R73" s="54"/>
      <c r="S73" s="54"/>
      <c r="T73" s="54"/>
    </row>
    <row r="74" spans="1:27" x14ac:dyDescent="0.3">
      <c r="D74" s="39" t="s">
        <v>588</v>
      </c>
      <c r="E74" s="58">
        <f>SUMIF(Table2[N/S], "S", Table2[Area (km2)])</f>
        <v>35436.969291630005</v>
      </c>
      <c r="F74" s="58"/>
      <c r="G74">
        <f>Reserves!C6</f>
        <v>18450000</v>
      </c>
      <c r="H74">
        <f>G74/E74</f>
        <v>520.64271772692985</v>
      </c>
      <c r="P74" s="54"/>
    </row>
    <row r="75" spans="1:27" x14ac:dyDescent="0.3">
      <c r="P75" s="54"/>
    </row>
  </sheetData>
  <conditionalFormatting sqref="O74:O1048576 O1:O10 Q11:Q73">
    <cfRule type="colorScale" priority="3">
      <colorScale>
        <cfvo type="min"/>
        <cfvo type="percentile" val="50"/>
        <cfvo type="max"/>
        <color rgb="FF63BE7B"/>
        <color rgb="FFFFEB84"/>
        <color rgb="FFF8696B"/>
      </colorScale>
    </cfRule>
  </conditionalFormatting>
  <conditionalFormatting sqref="N74:N1048576 N1:N10 P11:P73">
    <cfRule type="colorScale" priority="2">
      <colorScale>
        <cfvo type="min"/>
        <cfvo type="percentile" val="50"/>
        <cfvo type="max"/>
        <color rgb="FF63BE7B"/>
        <color rgb="FFFFEB84"/>
        <color rgb="FFF8696B"/>
      </colorScale>
    </cfRule>
  </conditionalFormatting>
  <conditionalFormatting sqref="S12:T72">
    <cfRule type="colorScale" priority="20">
      <colorScale>
        <cfvo type="min"/>
        <cfvo type="percentile" val="50"/>
        <cfvo type="max"/>
        <color rgb="FF63BE7B"/>
        <color rgb="FFFFEB84"/>
        <color rgb="FFF8696B"/>
      </colorScale>
    </cfRule>
  </conditionalFormatting>
  <conditionalFormatting sqref="P12:T72">
    <cfRule type="colorScale" priority="27">
      <colorScale>
        <cfvo type="min"/>
        <cfvo type="percentile" val="50"/>
        <cfvo type="max"/>
        <color rgb="FF63BE7B"/>
        <color rgb="FFFFEB84"/>
        <color rgb="FFF8696B"/>
      </colorScale>
    </cfRule>
  </conditionalFormatting>
  <conditionalFormatting sqref="P74:P1048576 P1:P10 R11:T73">
    <cfRule type="colorScale" priority="28">
      <colorScale>
        <cfvo type="min"/>
        <cfvo type="percentile" val="50"/>
        <cfvo type="max"/>
        <color rgb="FF63BE7B"/>
        <color rgb="FFFFEB84"/>
        <color rgb="FFF8696B"/>
      </colorScale>
    </cfRule>
  </conditionalFormatting>
  <hyperlinks>
    <hyperlink ref="D1" r:id="rId1" xr:uid="{00000000-0004-0000-0400-000000000000}"/>
    <hyperlink ref="C2" r:id="rId2" xr:uid="{00000000-0004-0000-0400-000001000000}"/>
    <hyperlink ref="C3" r:id="rId3" xr:uid="{00000000-0004-0000-0400-000002000000}"/>
    <hyperlink ref="J8" r:id="rId4" xr:uid="{00000000-0004-0000-0400-000003000000}"/>
    <hyperlink ref="J6" r:id="rId5" xr:uid="{00000000-0004-0000-0400-000004000000}"/>
    <hyperlink ref="J7" r:id="rId6" xr:uid="{00000000-0004-0000-0400-000005000000}"/>
    <hyperlink ref="J9" r:id="rId7" xr:uid="{00000000-0004-0000-0400-000006000000}"/>
  </hyperlinks>
  <pageMargins left="0.7" right="0.7" top="0.75" bottom="0.75" header="0.3" footer="0.3"/>
  <pageSetup paperSize="9" orientation="portrait" horizontalDpi="4294967293" verticalDpi="4294967293" r:id="rId8"/>
  <tableParts count="1">
    <tablePart r:id="rId9"/>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X67"/>
  <sheetViews>
    <sheetView workbookViewId="0">
      <selection sqref="A1:X67"/>
    </sheetView>
  </sheetViews>
  <sheetFormatPr defaultRowHeight="14.4" x14ac:dyDescent="0.3"/>
  <sheetData>
    <row r="1" spans="1:24" x14ac:dyDescent="0.3">
      <c r="A1" t="s">
        <v>389</v>
      </c>
      <c r="B1" t="s">
        <v>449</v>
      </c>
      <c r="C1" t="s">
        <v>388</v>
      </c>
      <c r="D1" t="s">
        <v>277</v>
      </c>
      <c r="E1" t="s">
        <v>607</v>
      </c>
      <c r="F1" t="s">
        <v>602</v>
      </c>
      <c r="G1" t="s">
        <v>295</v>
      </c>
      <c r="H1" t="s">
        <v>408</v>
      </c>
      <c r="I1" t="s">
        <v>430</v>
      </c>
      <c r="J1" t="s">
        <v>437</v>
      </c>
      <c r="K1" t="s">
        <v>587</v>
      </c>
      <c r="L1" t="s">
        <v>443</v>
      </c>
      <c r="M1" t="s">
        <v>444</v>
      </c>
      <c r="N1" t="s">
        <v>447</v>
      </c>
      <c r="O1" t="s">
        <v>586</v>
      </c>
      <c r="P1" t="s">
        <v>598</v>
      </c>
      <c r="Q1" t="s">
        <v>603</v>
      </c>
      <c r="R1" t="s">
        <v>415</v>
      </c>
      <c r="S1" t="s">
        <v>421</v>
      </c>
      <c r="T1" t="s">
        <v>422</v>
      </c>
      <c r="U1" t="s">
        <v>423</v>
      </c>
      <c r="V1" t="s">
        <v>424</v>
      </c>
      <c r="W1" t="s">
        <v>416</v>
      </c>
      <c r="X1" t="s">
        <v>417</v>
      </c>
    </row>
    <row r="2" spans="1:24" x14ac:dyDescent="0.3">
      <c r="A2">
        <v>1</v>
      </c>
      <c r="C2" t="s">
        <v>104</v>
      </c>
      <c r="D2" t="s">
        <v>278</v>
      </c>
      <c r="F2">
        <v>0</v>
      </c>
      <c r="G2">
        <v>17526</v>
      </c>
      <c r="H2">
        <v>21414</v>
      </c>
      <c r="I2">
        <v>15626.96</v>
      </c>
      <c r="J2">
        <v>15626.96</v>
      </c>
      <c r="K2">
        <v>42.813589041095888</v>
      </c>
      <c r="L2">
        <v>609451.43999999994</v>
      </c>
      <c r="M2">
        <v>390674</v>
      </c>
      <c r="N2">
        <v>218777.43999999994</v>
      </c>
    </row>
    <row r="3" spans="1:24" x14ac:dyDescent="0.3">
      <c r="A3">
        <v>2</v>
      </c>
      <c r="C3" t="s">
        <v>229</v>
      </c>
      <c r="D3" t="s">
        <v>279</v>
      </c>
      <c r="F3">
        <v>0</v>
      </c>
      <c r="G3">
        <v>408071</v>
      </c>
      <c r="H3">
        <v>0</v>
      </c>
      <c r="I3">
        <v>419783</v>
      </c>
      <c r="J3">
        <v>419783</v>
      </c>
      <c r="K3">
        <v>1150.0904109589042</v>
      </c>
      <c r="L3">
        <v>16371537</v>
      </c>
      <c r="M3">
        <v>10494575</v>
      </c>
      <c r="N3">
        <v>5876962</v>
      </c>
      <c r="S3">
        <v>1098</v>
      </c>
      <c r="T3">
        <v>1072</v>
      </c>
      <c r="W3">
        <v>1068</v>
      </c>
      <c r="X3">
        <v>1071</v>
      </c>
    </row>
    <row r="4" spans="1:24" x14ac:dyDescent="0.3">
      <c r="A4">
        <v>3</v>
      </c>
      <c r="C4" t="s">
        <v>234</v>
      </c>
      <c r="D4" t="s">
        <v>280</v>
      </c>
      <c r="F4">
        <v>0</v>
      </c>
      <c r="G4">
        <v>0</v>
      </c>
      <c r="H4">
        <v>0</v>
      </c>
      <c r="I4">
        <v>0</v>
      </c>
      <c r="J4">
        <v>0</v>
      </c>
      <c r="K4">
        <v>0</v>
      </c>
      <c r="L4">
        <v>0</v>
      </c>
      <c r="M4">
        <v>0</v>
      </c>
      <c r="N4">
        <v>0</v>
      </c>
    </row>
    <row r="5" spans="1:24" x14ac:dyDescent="0.3">
      <c r="A5">
        <v>4</v>
      </c>
      <c r="C5">
        <v>76</v>
      </c>
      <c r="D5" t="s">
        <v>4</v>
      </c>
      <c r="F5">
        <v>0</v>
      </c>
      <c r="G5">
        <v>0</v>
      </c>
      <c r="H5">
        <v>0</v>
      </c>
      <c r="I5">
        <v>0</v>
      </c>
      <c r="J5">
        <v>0</v>
      </c>
      <c r="K5">
        <v>0</v>
      </c>
      <c r="L5">
        <v>0</v>
      </c>
      <c r="M5">
        <v>0</v>
      </c>
      <c r="N5">
        <v>0</v>
      </c>
    </row>
    <row r="6" spans="1:24" x14ac:dyDescent="0.3">
      <c r="A6">
        <v>5</v>
      </c>
      <c r="C6" t="s">
        <v>235</v>
      </c>
      <c r="D6" t="s">
        <v>278</v>
      </c>
      <c r="F6">
        <v>0</v>
      </c>
      <c r="G6">
        <v>0</v>
      </c>
      <c r="H6">
        <v>0</v>
      </c>
      <c r="I6">
        <v>0</v>
      </c>
      <c r="J6">
        <v>0</v>
      </c>
      <c r="K6">
        <v>0</v>
      </c>
      <c r="L6">
        <v>0</v>
      </c>
      <c r="M6">
        <v>0</v>
      </c>
      <c r="N6">
        <v>0</v>
      </c>
    </row>
    <row r="7" spans="1:24" x14ac:dyDescent="0.3">
      <c r="A7">
        <v>6</v>
      </c>
      <c r="C7" t="s">
        <v>236</v>
      </c>
      <c r="D7" t="s">
        <v>278</v>
      </c>
      <c r="F7">
        <v>0</v>
      </c>
      <c r="G7">
        <v>0</v>
      </c>
      <c r="H7">
        <v>0</v>
      </c>
      <c r="I7">
        <v>0</v>
      </c>
      <c r="J7">
        <v>0</v>
      </c>
      <c r="K7">
        <v>0</v>
      </c>
      <c r="L7">
        <v>0</v>
      </c>
      <c r="M7">
        <v>0</v>
      </c>
      <c r="N7">
        <v>0</v>
      </c>
    </row>
    <row r="8" spans="1:24" x14ac:dyDescent="0.3">
      <c r="A8">
        <v>7</v>
      </c>
      <c r="C8" t="s">
        <v>153</v>
      </c>
      <c r="D8" t="s">
        <v>278</v>
      </c>
      <c r="E8">
        <v>1992.81733618</v>
      </c>
      <c r="F8">
        <v>199281.733618</v>
      </c>
      <c r="G8">
        <v>13538251</v>
      </c>
      <c r="H8">
        <v>14347044</v>
      </c>
      <c r="I8">
        <v>11767315.07</v>
      </c>
      <c r="J8">
        <v>11767315.07</v>
      </c>
      <c r="K8">
        <v>32239.219369863014</v>
      </c>
      <c r="L8">
        <v>458925287.73000002</v>
      </c>
      <c r="M8">
        <v>294182876.75</v>
      </c>
      <c r="N8">
        <v>164742410.98000002</v>
      </c>
      <c r="O8">
        <v>5904.8638610082453</v>
      </c>
      <c r="P8">
        <v>82668.094054115441</v>
      </c>
      <c r="Q8">
        <v>826.68094054115431</v>
      </c>
    </row>
    <row r="9" spans="1:24" x14ac:dyDescent="0.3">
      <c r="A9">
        <v>10</v>
      </c>
      <c r="C9" t="s">
        <v>157</v>
      </c>
      <c r="D9" t="s">
        <v>281</v>
      </c>
      <c r="E9">
        <v>1988.5105023399999</v>
      </c>
      <c r="F9">
        <v>198851.05023399999</v>
      </c>
      <c r="G9">
        <v>4123349</v>
      </c>
      <c r="H9">
        <v>0</v>
      </c>
      <c r="I9">
        <v>3897273</v>
      </c>
      <c r="J9">
        <v>3897273</v>
      </c>
      <c r="K9">
        <v>10677.460273972603</v>
      </c>
      <c r="L9">
        <v>151993647</v>
      </c>
      <c r="M9">
        <v>97431825</v>
      </c>
      <c r="N9">
        <v>54561822</v>
      </c>
      <c r="O9">
        <v>1959.8956080009859</v>
      </c>
      <c r="P9">
        <v>27438.538512013802</v>
      </c>
      <c r="Q9">
        <v>274.38538512013804</v>
      </c>
      <c r="S9">
        <v>12610</v>
      </c>
      <c r="T9">
        <v>12938</v>
      </c>
      <c r="U9">
        <v>12720</v>
      </c>
      <c r="V9">
        <v>13196</v>
      </c>
      <c r="W9">
        <v>13305</v>
      </c>
      <c r="X9">
        <v>13313</v>
      </c>
    </row>
    <row r="10" spans="1:24" x14ac:dyDescent="0.3">
      <c r="A10">
        <v>11</v>
      </c>
      <c r="B10" t="s">
        <v>450</v>
      </c>
      <c r="C10" t="s">
        <v>237</v>
      </c>
      <c r="D10" t="s">
        <v>278</v>
      </c>
      <c r="E10">
        <v>2006.76698848</v>
      </c>
      <c r="F10">
        <v>200676.698848</v>
      </c>
      <c r="G10">
        <v>0</v>
      </c>
      <c r="H10">
        <v>0</v>
      </c>
      <c r="I10">
        <v>0</v>
      </c>
      <c r="J10">
        <v>0</v>
      </c>
      <c r="K10">
        <v>0</v>
      </c>
      <c r="L10">
        <v>0</v>
      </c>
      <c r="M10">
        <v>0</v>
      </c>
      <c r="N10">
        <v>0</v>
      </c>
      <c r="O10">
        <v>0</v>
      </c>
      <c r="P10">
        <v>0</v>
      </c>
      <c r="Q10">
        <v>0</v>
      </c>
    </row>
    <row r="11" spans="1:24" x14ac:dyDescent="0.3">
      <c r="A11">
        <v>12</v>
      </c>
      <c r="C11" t="s">
        <v>224</v>
      </c>
      <c r="D11" t="s">
        <v>278</v>
      </c>
      <c r="E11">
        <v>1811.5147748100001</v>
      </c>
      <c r="F11">
        <v>181151.47748100001</v>
      </c>
      <c r="G11">
        <v>13018953</v>
      </c>
      <c r="H11">
        <v>11252264</v>
      </c>
      <c r="I11">
        <v>14399790</v>
      </c>
      <c r="J11">
        <v>14399790</v>
      </c>
      <c r="K11">
        <v>39451.479452054795</v>
      </c>
      <c r="L11">
        <v>561591810</v>
      </c>
      <c r="M11">
        <v>359994750</v>
      </c>
      <c r="N11">
        <v>201597060</v>
      </c>
      <c r="O11">
        <v>7949.0325998088065</v>
      </c>
      <c r="P11">
        <v>111286.4563973233</v>
      </c>
      <c r="Q11">
        <v>1112.8645639732329</v>
      </c>
    </row>
    <row r="12" spans="1:24" x14ac:dyDescent="0.3">
      <c r="A12">
        <v>14</v>
      </c>
      <c r="C12" t="s">
        <v>196</v>
      </c>
      <c r="D12" t="s">
        <v>282</v>
      </c>
      <c r="E12">
        <v>2010.7986381000001</v>
      </c>
      <c r="F12">
        <v>201079.86381000001</v>
      </c>
      <c r="G12">
        <v>1328551</v>
      </c>
      <c r="H12">
        <v>0</v>
      </c>
      <c r="I12">
        <v>1181512</v>
      </c>
      <c r="J12">
        <v>1181512</v>
      </c>
      <c r="K12">
        <v>3237.019178082192</v>
      </c>
      <c r="L12">
        <v>46078968</v>
      </c>
      <c r="M12">
        <v>29537800</v>
      </c>
      <c r="N12">
        <v>16541168</v>
      </c>
      <c r="O12">
        <v>587.58344948771628</v>
      </c>
      <c r="P12">
        <v>8226.1682928280279</v>
      </c>
      <c r="Q12">
        <v>82.261682928280266</v>
      </c>
      <c r="S12">
        <v>3127</v>
      </c>
      <c r="T12">
        <v>3147</v>
      </c>
      <c r="W12">
        <v>3155</v>
      </c>
      <c r="X12">
        <v>3155</v>
      </c>
    </row>
    <row r="13" spans="1:24" x14ac:dyDescent="0.3">
      <c r="A13">
        <v>15</v>
      </c>
      <c r="C13" t="s">
        <v>150</v>
      </c>
      <c r="D13" t="s">
        <v>278</v>
      </c>
      <c r="E13">
        <v>1510.7354774600001</v>
      </c>
      <c r="F13">
        <v>151073.547746</v>
      </c>
      <c r="G13">
        <v>10888225</v>
      </c>
      <c r="H13">
        <v>10768208</v>
      </c>
      <c r="I13">
        <v>9566401.7800000012</v>
      </c>
      <c r="J13">
        <v>9566401.7800000012</v>
      </c>
      <c r="K13">
        <v>26209.319945205483</v>
      </c>
      <c r="L13">
        <v>373089669.42000008</v>
      </c>
      <c r="M13">
        <v>239160044.50000003</v>
      </c>
      <c r="N13">
        <v>133929624.92000005</v>
      </c>
      <c r="O13">
        <v>6332.2811456602549</v>
      </c>
      <c r="P13">
        <v>88651.936039243592</v>
      </c>
      <c r="Q13">
        <v>886.51936039243594</v>
      </c>
    </row>
    <row r="14" spans="1:24" x14ac:dyDescent="0.3">
      <c r="A14">
        <v>16</v>
      </c>
      <c r="C14" t="s">
        <v>190</v>
      </c>
      <c r="D14" t="s">
        <v>283</v>
      </c>
      <c r="E14">
        <v>1326.46608474</v>
      </c>
      <c r="F14">
        <v>132646.60847400001</v>
      </c>
      <c r="G14">
        <v>8924103</v>
      </c>
      <c r="H14">
        <v>0</v>
      </c>
      <c r="I14">
        <v>7867805</v>
      </c>
      <c r="J14">
        <v>7867805</v>
      </c>
      <c r="K14">
        <v>21555.630136986303</v>
      </c>
      <c r="L14">
        <v>306844395</v>
      </c>
      <c r="M14">
        <v>196695125</v>
      </c>
      <c r="N14">
        <v>110149270</v>
      </c>
      <c r="O14">
        <v>5931.4030645134544</v>
      </c>
      <c r="P14">
        <v>83039.64290318836</v>
      </c>
      <c r="Q14">
        <v>830.3964290318836</v>
      </c>
      <c r="S14">
        <v>18420</v>
      </c>
      <c r="T14">
        <v>17832</v>
      </c>
      <c r="W14">
        <v>18289</v>
      </c>
      <c r="X14">
        <v>18290</v>
      </c>
    </row>
    <row r="15" spans="1:24" x14ac:dyDescent="0.3">
      <c r="A15">
        <v>17</v>
      </c>
      <c r="C15" t="s">
        <v>197</v>
      </c>
      <c r="D15" t="s">
        <v>282</v>
      </c>
      <c r="E15">
        <v>1861.83278427</v>
      </c>
      <c r="F15">
        <v>186183.27842700001</v>
      </c>
      <c r="G15">
        <v>2546449</v>
      </c>
      <c r="H15">
        <v>0</v>
      </c>
      <c r="I15">
        <v>2264615</v>
      </c>
      <c r="J15">
        <v>2264615</v>
      </c>
      <c r="K15">
        <v>6204.4246575342468</v>
      </c>
      <c r="L15">
        <v>88319985</v>
      </c>
      <c r="M15">
        <v>56615375</v>
      </c>
      <c r="N15">
        <v>31704610</v>
      </c>
      <c r="O15">
        <v>1216.3364074007998</v>
      </c>
      <c r="P15">
        <v>17028.709703611195</v>
      </c>
      <c r="Q15">
        <v>170.28709703611196</v>
      </c>
      <c r="S15">
        <v>5994</v>
      </c>
      <c r="T15">
        <v>6033</v>
      </c>
      <c r="W15">
        <v>6048</v>
      </c>
      <c r="X15">
        <v>6048</v>
      </c>
    </row>
    <row r="16" spans="1:24" x14ac:dyDescent="0.3">
      <c r="A16">
        <v>18</v>
      </c>
      <c r="C16" t="s">
        <v>152</v>
      </c>
      <c r="D16" t="s">
        <v>278</v>
      </c>
      <c r="E16">
        <v>1141.3748551599999</v>
      </c>
      <c r="F16">
        <v>114137.48551599999</v>
      </c>
      <c r="G16">
        <v>5534891</v>
      </c>
      <c r="H16">
        <v>5119637</v>
      </c>
      <c r="I16">
        <v>4136861.21</v>
      </c>
      <c r="J16">
        <v>4136861.21</v>
      </c>
      <c r="K16">
        <v>11333.866328767122</v>
      </c>
      <c r="L16">
        <v>161337587.19</v>
      </c>
      <c r="M16">
        <v>103421530.25</v>
      </c>
      <c r="N16">
        <v>57916056.939999998</v>
      </c>
      <c r="O16">
        <v>3624.454482502234</v>
      </c>
      <c r="P16">
        <v>50742.362755031274</v>
      </c>
      <c r="Q16">
        <v>507.4236275503128</v>
      </c>
    </row>
    <row r="17" spans="1:24" x14ac:dyDescent="0.3">
      <c r="A17">
        <v>20</v>
      </c>
      <c r="B17" t="s">
        <v>597</v>
      </c>
      <c r="C17" t="s">
        <v>592</v>
      </c>
      <c r="D17" t="s">
        <v>4</v>
      </c>
      <c r="E17">
        <v>1090.60892745</v>
      </c>
      <c r="F17">
        <v>109060.892745</v>
      </c>
      <c r="G17">
        <v>0</v>
      </c>
      <c r="H17">
        <v>0</v>
      </c>
      <c r="I17">
        <v>0</v>
      </c>
      <c r="J17">
        <v>36500000</v>
      </c>
      <c r="K17">
        <v>100000</v>
      </c>
      <c r="L17">
        <v>1423500000</v>
      </c>
      <c r="M17">
        <v>1350500000</v>
      </c>
      <c r="N17">
        <v>73000000</v>
      </c>
      <c r="O17">
        <v>33467.541922054712</v>
      </c>
      <c r="P17">
        <v>66935.083844109424</v>
      </c>
      <c r="Q17">
        <v>669.3508384410942</v>
      </c>
    </row>
    <row r="18" spans="1:24" x14ac:dyDescent="0.3">
      <c r="A18">
        <v>21</v>
      </c>
      <c r="C18" t="s">
        <v>108</v>
      </c>
      <c r="D18" t="s">
        <v>278</v>
      </c>
      <c r="E18">
        <v>1604.2354271300001</v>
      </c>
      <c r="F18">
        <v>160423.542713</v>
      </c>
      <c r="G18">
        <v>2282716</v>
      </c>
      <c r="H18">
        <v>0</v>
      </c>
      <c r="I18">
        <v>20703442.25</v>
      </c>
      <c r="J18">
        <v>20703442.25</v>
      </c>
      <c r="K18">
        <v>56721.759589041096</v>
      </c>
      <c r="L18">
        <v>807434247.75</v>
      </c>
      <c r="M18">
        <v>517586056.25</v>
      </c>
      <c r="N18">
        <v>289848191.5</v>
      </c>
      <c r="O18">
        <v>12905.488745525807</v>
      </c>
      <c r="P18">
        <v>180676.84243736128</v>
      </c>
      <c r="Q18">
        <v>1806.7684243736128</v>
      </c>
    </row>
    <row r="19" spans="1:24" x14ac:dyDescent="0.3">
      <c r="A19">
        <v>22</v>
      </c>
      <c r="B19" t="s">
        <v>451</v>
      </c>
      <c r="C19" t="s">
        <v>462</v>
      </c>
      <c r="D19" t="s">
        <v>4</v>
      </c>
      <c r="E19">
        <v>1753.5138934300001</v>
      </c>
      <c r="F19">
        <v>175351.38934300002</v>
      </c>
      <c r="G19">
        <v>0</v>
      </c>
      <c r="H19">
        <v>0</v>
      </c>
      <c r="I19">
        <v>0</v>
      </c>
      <c r="J19">
        <v>1979304.5833004341</v>
      </c>
      <c r="K19">
        <v>5422.7522830148882</v>
      </c>
      <c r="L19">
        <v>77192878.748716921</v>
      </c>
      <c r="M19">
        <v>55420528.332412153</v>
      </c>
      <c r="N19">
        <v>21772350.416304767</v>
      </c>
      <c r="O19">
        <v>1128.7646996789806</v>
      </c>
      <c r="P19">
        <v>12416.411696468782</v>
      </c>
      <c r="Q19">
        <v>124.16411696468782</v>
      </c>
    </row>
    <row r="20" spans="1:24" x14ac:dyDescent="0.3">
      <c r="A20">
        <v>28</v>
      </c>
      <c r="B20" t="s">
        <v>451</v>
      </c>
      <c r="C20" t="s">
        <v>284</v>
      </c>
      <c r="D20" t="s">
        <v>285</v>
      </c>
      <c r="E20">
        <v>1753.07426154</v>
      </c>
      <c r="F20">
        <v>175307.42615399999</v>
      </c>
      <c r="G20">
        <v>0</v>
      </c>
      <c r="H20">
        <v>0</v>
      </c>
      <c r="I20">
        <v>0</v>
      </c>
      <c r="J20">
        <v>1978808.3423421488</v>
      </c>
      <c r="K20">
        <v>5421.3927187456129</v>
      </c>
      <c r="L20">
        <v>77173525.351343796</v>
      </c>
      <c r="M20">
        <v>55406633.585580163</v>
      </c>
      <c r="N20">
        <v>21766891.765763633</v>
      </c>
      <c r="O20">
        <v>1128.7646996789806</v>
      </c>
      <c r="P20">
        <v>12416.411696468786</v>
      </c>
      <c r="Q20">
        <v>124.16411696468785</v>
      </c>
    </row>
    <row r="21" spans="1:24" x14ac:dyDescent="0.3">
      <c r="A21">
        <v>29</v>
      </c>
      <c r="B21" t="s">
        <v>451</v>
      </c>
      <c r="C21" t="s">
        <v>463</v>
      </c>
      <c r="D21" t="s">
        <v>4</v>
      </c>
      <c r="E21">
        <v>1684.8586582</v>
      </c>
      <c r="F21">
        <v>168485.86582000001</v>
      </c>
      <c r="G21">
        <v>0</v>
      </c>
      <c r="H21">
        <v>0</v>
      </c>
      <c r="I21">
        <v>0</v>
      </c>
      <c r="J21">
        <v>1901808.9773246532</v>
      </c>
      <c r="K21">
        <v>5210.4355543141182</v>
      </c>
      <c r="L21">
        <v>74170550.115661472</v>
      </c>
      <c r="M21">
        <v>53250651.365090288</v>
      </c>
      <c r="N21">
        <v>20919898.750571184</v>
      </c>
      <c r="O21">
        <v>1128.7646996789806</v>
      </c>
      <c r="P21">
        <v>12416.411696468786</v>
      </c>
      <c r="Q21">
        <v>124.16411696468785</v>
      </c>
    </row>
    <row r="22" spans="1:24" x14ac:dyDescent="0.3">
      <c r="A22">
        <v>31</v>
      </c>
      <c r="C22" t="s">
        <v>259</v>
      </c>
      <c r="D22" t="s">
        <v>278</v>
      </c>
      <c r="E22">
        <v>2015.52997052</v>
      </c>
      <c r="F22">
        <v>201552.99705199999</v>
      </c>
      <c r="G22">
        <v>2531614</v>
      </c>
      <c r="H22">
        <v>2980696</v>
      </c>
      <c r="I22">
        <v>6111481.7199999997</v>
      </c>
      <c r="J22">
        <v>6111481.7199999997</v>
      </c>
      <c r="K22">
        <v>16743.785534246574</v>
      </c>
      <c r="L22">
        <v>238347787.07999998</v>
      </c>
      <c r="M22">
        <v>152787043</v>
      </c>
      <c r="N22">
        <v>85560744.079999983</v>
      </c>
      <c r="O22">
        <v>3032.1959035038599</v>
      </c>
      <c r="P22">
        <v>42450.742649054031</v>
      </c>
      <c r="Q22">
        <v>424.50742649054035</v>
      </c>
    </row>
    <row r="23" spans="1:24" x14ac:dyDescent="0.3">
      <c r="A23">
        <v>39</v>
      </c>
      <c r="C23" t="s">
        <v>452</v>
      </c>
      <c r="D23" t="s">
        <v>4</v>
      </c>
      <c r="F23">
        <v>0</v>
      </c>
      <c r="G23">
        <v>0</v>
      </c>
      <c r="H23">
        <v>0</v>
      </c>
      <c r="I23">
        <v>0</v>
      </c>
      <c r="J23">
        <v>0</v>
      </c>
      <c r="K23">
        <v>0</v>
      </c>
      <c r="L23">
        <v>0</v>
      </c>
      <c r="M23">
        <v>0</v>
      </c>
      <c r="N23">
        <v>0</v>
      </c>
    </row>
    <row r="24" spans="1:24" x14ac:dyDescent="0.3">
      <c r="A24">
        <v>40</v>
      </c>
      <c r="C24" t="s">
        <v>453</v>
      </c>
      <c r="D24" t="s">
        <v>4</v>
      </c>
      <c r="F24">
        <v>0</v>
      </c>
      <c r="G24">
        <v>0</v>
      </c>
      <c r="H24">
        <v>0</v>
      </c>
      <c r="I24">
        <v>0</v>
      </c>
      <c r="J24">
        <v>0</v>
      </c>
      <c r="K24">
        <v>0</v>
      </c>
      <c r="L24">
        <v>0</v>
      </c>
      <c r="M24">
        <v>0</v>
      </c>
      <c r="N24">
        <v>0</v>
      </c>
    </row>
    <row r="25" spans="1:24" x14ac:dyDescent="0.3">
      <c r="A25">
        <v>43</v>
      </c>
      <c r="C25" t="s">
        <v>250</v>
      </c>
      <c r="D25" t="s">
        <v>278</v>
      </c>
      <c r="E25">
        <v>1935.2875486299999</v>
      </c>
      <c r="F25">
        <v>193528.75486300001</v>
      </c>
      <c r="G25">
        <v>0</v>
      </c>
      <c r="H25">
        <v>6266369</v>
      </c>
      <c r="I25">
        <v>3058743.75</v>
      </c>
      <c r="J25">
        <v>83500000</v>
      </c>
      <c r="K25">
        <v>228767.12328767125</v>
      </c>
      <c r="L25">
        <v>3256500000</v>
      </c>
      <c r="M25">
        <v>2087500000</v>
      </c>
      <c r="N25">
        <v>1169000000</v>
      </c>
      <c r="O25">
        <v>43146.043108224447</v>
      </c>
      <c r="P25">
        <v>604044.60351514234</v>
      </c>
      <c r="Q25">
        <v>6040.4460351514226</v>
      </c>
      <c r="R25">
        <v>17112</v>
      </c>
      <c r="S25">
        <v>49278</v>
      </c>
      <c r="T25">
        <v>49292</v>
      </c>
      <c r="U25">
        <v>49292</v>
      </c>
      <c r="V25">
        <v>49244</v>
      </c>
      <c r="W25">
        <v>51208</v>
      </c>
      <c r="X25">
        <v>51002</v>
      </c>
    </row>
    <row r="26" spans="1:24" x14ac:dyDescent="0.3">
      <c r="A26">
        <v>44</v>
      </c>
      <c r="C26" t="s">
        <v>139</v>
      </c>
      <c r="D26" t="s">
        <v>278</v>
      </c>
      <c r="E26">
        <v>71.380492315799998</v>
      </c>
      <c r="F26">
        <v>7138.0492315800002</v>
      </c>
      <c r="G26">
        <v>770261</v>
      </c>
      <c r="H26">
        <v>828773</v>
      </c>
      <c r="I26">
        <v>720820.21</v>
      </c>
      <c r="J26">
        <v>720820.21</v>
      </c>
      <c r="K26">
        <v>1974.8498904109588</v>
      </c>
      <c r="L26">
        <v>28111988.189999998</v>
      </c>
      <c r="M26">
        <v>18020505.25</v>
      </c>
      <c r="N26">
        <v>10091482.939999998</v>
      </c>
      <c r="O26">
        <v>10098.280168914542</v>
      </c>
      <c r="P26">
        <v>141375.92236480355</v>
      </c>
      <c r="Q26">
        <v>1413.7592236480355</v>
      </c>
    </row>
    <row r="27" spans="1:24" x14ac:dyDescent="0.3">
      <c r="A27">
        <v>45</v>
      </c>
      <c r="C27" t="s">
        <v>173</v>
      </c>
      <c r="D27" t="s">
        <v>287</v>
      </c>
      <c r="E27">
        <v>168.665540206</v>
      </c>
      <c r="F27">
        <v>16866.554020600001</v>
      </c>
      <c r="G27">
        <v>288756</v>
      </c>
      <c r="H27">
        <v>0</v>
      </c>
      <c r="I27">
        <v>241252</v>
      </c>
      <c r="J27">
        <v>241252</v>
      </c>
      <c r="K27">
        <v>660.96438356164379</v>
      </c>
      <c r="L27">
        <v>9408828</v>
      </c>
      <c r="M27">
        <v>6031300</v>
      </c>
      <c r="N27">
        <v>3377528</v>
      </c>
      <c r="O27">
        <v>1430.3573789011459</v>
      </c>
      <c r="P27">
        <v>20025.003304616042</v>
      </c>
      <c r="Q27">
        <v>200.25003304616041</v>
      </c>
      <c r="S27">
        <v>235</v>
      </c>
      <c r="T27">
        <v>234</v>
      </c>
      <c r="U27">
        <v>233</v>
      </c>
      <c r="V27">
        <v>231</v>
      </c>
      <c r="W27">
        <v>225</v>
      </c>
      <c r="X27">
        <v>225</v>
      </c>
    </row>
    <row r="28" spans="1:24" x14ac:dyDescent="0.3">
      <c r="A28">
        <v>46</v>
      </c>
      <c r="C28" t="s">
        <v>161</v>
      </c>
      <c r="D28" t="s">
        <v>280</v>
      </c>
      <c r="E28">
        <v>61.274212482599999</v>
      </c>
      <c r="F28">
        <v>6127.4212482599996</v>
      </c>
      <c r="G28">
        <v>3145898</v>
      </c>
      <c r="H28">
        <v>0</v>
      </c>
      <c r="I28">
        <v>3242796</v>
      </c>
      <c r="J28">
        <v>3242796</v>
      </c>
      <c r="K28">
        <v>8884.3726027397261</v>
      </c>
      <c r="L28">
        <v>126469044</v>
      </c>
      <c r="M28">
        <v>81069900</v>
      </c>
      <c r="N28">
        <v>45399144</v>
      </c>
      <c r="O28">
        <v>52922.687515908176</v>
      </c>
      <c r="P28">
        <v>740917.6252227145</v>
      </c>
      <c r="Q28">
        <v>7409.1762522271456</v>
      </c>
      <c r="S28">
        <v>10400</v>
      </c>
      <c r="T28">
        <v>10233</v>
      </c>
      <c r="W28">
        <v>10456</v>
      </c>
      <c r="X28">
        <v>10458</v>
      </c>
    </row>
    <row r="29" spans="1:24" x14ac:dyDescent="0.3">
      <c r="A29">
        <v>47</v>
      </c>
      <c r="C29" t="s">
        <v>162</v>
      </c>
      <c r="D29" t="s">
        <v>280</v>
      </c>
      <c r="E29">
        <v>390.64170149099999</v>
      </c>
      <c r="F29">
        <v>39064.170149099999</v>
      </c>
      <c r="G29">
        <v>1482527</v>
      </c>
      <c r="H29">
        <v>0</v>
      </c>
      <c r="I29">
        <v>1528189</v>
      </c>
      <c r="J29">
        <v>1528189</v>
      </c>
      <c r="K29">
        <v>4186.8191780821917</v>
      </c>
      <c r="L29">
        <v>59599371</v>
      </c>
      <c r="M29">
        <v>38204725</v>
      </c>
      <c r="N29">
        <v>21394646</v>
      </c>
      <c r="O29">
        <v>3911.9965793903034</v>
      </c>
      <c r="P29">
        <v>54767.952111464248</v>
      </c>
      <c r="Q29">
        <v>547.67952111464251</v>
      </c>
      <c r="S29">
        <v>4901</v>
      </c>
      <c r="T29">
        <v>4822</v>
      </c>
      <c r="W29">
        <v>4927</v>
      </c>
      <c r="X29">
        <v>4929</v>
      </c>
    </row>
    <row r="30" spans="1:24" x14ac:dyDescent="0.3">
      <c r="A30">
        <v>48</v>
      </c>
      <c r="B30" t="s">
        <v>450</v>
      </c>
      <c r="C30" t="s">
        <v>393</v>
      </c>
      <c r="D30" t="s">
        <v>278</v>
      </c>
      <c r="E30">
        <v>239.42842758399999</v>
      </c>
      <c r="F30">
        <v>23942.842758399998</v>
      </c>
      <c r="G30">
        <v>0</v>
      </c>
      <c r="H30">
        <v>0</v>
      </c>
      <c r="I30">
        <v>0</v>
      </c>
      <c r="J30">
        <v>0</v>
      </c>
      <c r="K30">
        <v>0</v>
      </c>
      <c r="L30">
        <v>0</v>
      </c>
      <c r="M30">
        <v>0</v>
      </c>
      <c r="N30">
        <v>0</v>
      </c>
      <c r="O30">
        <v>0</v>
      </c>
      <c r="P30">
        <v>0</v>
      </c>
      <c r="Q30">
        <v>0</v>
      </c>
    </row>
    <row r="31" spans="1:24" x14ac:dyDescent="0.3">
      <c r="A31">
        <v>49</v>
      </c>
      <c r="C31" t="s">
        <v>158</v>
      </c>
      <c r="D31" t="s">
        <v>288</v>
      </c>
      <c r="E31">
        <v>638.97965687199996</v>
      </c>
      <c r="F31">
        <v>63897.965687199998</v>
      </c>
      <c r="G31">
        <v>983221</v>
      </c>
      <c r="H31">
        <v>0</v>
      </c>
      <c r="I31">
        <v>892301</v>
      </c>
      <c r="J31">
        <v>892301</v>
      </c>
      <c r="K31">
        <v>2444.6602739726027</v>
      </c>
      <c r="L31">
        <v>34799739</v>
      </c>
      <c r="M31">
        <v>22307525</v>
      </c>
      <c r="N31">
        <v>12492214</v>
      </c>
      <c r="O31">
        <v>1396.4466480327169</v>
      </c>
      <c r="P31">
        <v>19550.253072458039</v>
      </c>
      <c r="Q31">
        <v>195.50253072458037</v>
      </c>
      <c r="S31">
        <v>2269</v>
      </c>
      <c r="T31">
        <v>2277</v>
      </c>
      <c r="W31">
        <v>2242</v>
      </c>
      <c r="X31">
        <v>2230</v>
      </c>
    </row>
    <row r="32" spans="1:24" x14ac:dyDescent="0.3">
      <c r="A32">
        <v>50</v>
      </c>
      <c r="B32" t="s">
        <v>450</v>
      </c>
      <c r="C32" t="s">
        <v>394</v>
      </c>
      <c r="D32" t="s">
        <v>278</v>
      </c>
      <c r="E32">
        <v>244.52878311200001</v>
      </c>
      <c r="F32">
        <v>24452.878311200002</v>
      </c>
      <c r="G32">
        <v>0</v>
      </c>
      <c r="H32">
        <v>0</v>
      </c>
      <c r="I32">
        <v>0</v>
      </c>
      <c r="J32">
        <v>295115</v>
      </c>
      <c r="K32">
        <v>808.53424657534242</v>
      </c>
      <c r="L32">
        <v>11509485</v>
      </c>
      <c r="M32">
        <v>7377875</v>
      </c>
      <c r="N32">
        <v>4131610</v>
      </c>
      <c r="O32">
        <v>1206.8722391049985</v>
      </c>
      <c r="P32">
        <v>16896.21134746998</v>
      </c>
      <c r="Q32">
        <v>168.96211347469978</v>
      </c>
    </row>
    <row r="33" spans="1:24" x14ac:dyDescent="0.3">
      <c r="A33">
        <v>51</v>
      </c>
      <c r="B33" t="s">
        <v>450</v>
      </c>
      <c r="C33" t="s">
        <v>395</v>
      </c>
      <c r="D33" t="s">
        <v>278</v>
      </c>
      <c r="E33">
        <v>27.0397385861</v>
      </c>
      <c r="F33">
        <v>2703.9738586100002</v>
      </c>
      <c r="G33">
        <v>0</v>
      </c>
      <c r="H33">
        <v>0</v>
      </c>
      <c r="I33">
        <v>0</v>
      </c>
      <c r="J33">
        <v>0</v>
      </c>
      <c r="K33">
        <v>0</v>
      </c>
      <c r="L33">
        <v>0</v>
      </c>
      <c r="M33">
        <v>0</v>
      </c>
      <c r="N33">
        <v>0</v>
      </c>
      <c r="O33">
        <v>0</v>
      </c>
      <c r="P33">
        <v>0</v>
      </c>
      <c r="Q33">
        <v>0</v>
      </c>
    </row>
    <row r="34" spans="1:24" x14ac:dyDescent="0.3">
      <c r="A34">
        <v>52</v>
      </c>
      <c r="C34" t="s">
        <v>148</v>
      </c>
      <c r="D34" t="s">
        <v>289</v>
      </c>
      <c r="E34">
        <v>83.249917185399994</v>
      </c>
      <c r="F34">
        <v>8324.9917185399991</v>
      </c>
      <c r="G34">
        <v>361293</v>
      </c>
      <c r="H34">
        <v>0</v>
      </c>
      <c r="I34">
        <v>868237</v>
      </c>
      <c r="J34">
        <v>868237</v>
      </c>
      <c r="K34">
        <v>2378.7315068493149</v>
      </c>
      <c r="L34">
        <v>33861243</v>
      </c>
      <c r="M34">
        <v>21705925</v>
      </c>
      <c r="N34">
        <v>12155318</v>
      </c>
      <c r="O34">
        <v>10429.283648011455</v>
      </c>
      <c r="P34">
        <v>146009.97107216038</v>
      </c>
      <c r="Q34">
        <v>1460.0997107216037</v>
      </c>
      <c r="S34">
        <v>2345</v>
      </c>
      <c r="T34">
        <v>2550</v>
      </c>
      <c r="W34">
        <v>2922</v>
      </c>
      <c r="X34">
        <v>2883</v>
      </c>
    </row>
    <row r="35" spans="1:24" x14ac:dyDescent="0.3">
      <c r="A35">
        <v>53</v>
      </c>
      <c r="C35" t="s">
        <v>225</v>
      </c>
      <c r="D35" t="s">
        <v>320</v>
      </c>
      <c r="E35">
        <v>34.675839734199997</v>
      </c>
      <c r="F35">
        <v>3467.5839734199999</v>
      </c>
      <c r="G35">
        <v>2161458</v>
      </c>
      <c r="H35">
        <v>0</v>
      </c>
      <c r="I35">
        <v>1668248</v>
      </c>
      <c r="J35">
        <v>1668248</v>
      </c>
      <c r="K35">
        <v>4570.5424657534249</v>
      </c>
      <c r="L35">
        <v>65061672</v>
      </c>
      <c r="M35">
        <v>41706200</v>
      </c>
      <c r="N35">
        <v>23355472</v>
      </c>
      <c r="O35">
        <v>48109.808235001292</v>
      </c>
      <c r="P35">
        <v>673537.3152900181</v>
      </c>
      <c r="Q35">
        <v>6735.3731529001807</v>
      </c>
      <c r="S35">
        <v>3308</v>
      </c>
      <c r="T35">
        <v>3305</v>
      </c>
      <c r="W35">
        <v>3167</v>
      </c>
      <c r="X35">
        <v>3191</v>
      </c>
    </row>
    <row r="36" spans="1:24" x14ac:dyDescent="0.3">
      <c r="A36">
        <v>54</v>
      </c>
      <c r="C36" t="s">
        <v>274</v>
      </c>
      <c r="D36" t="s">
        <v>290</v>
      </c>
      <c r="E36">
        <v>136.84095096499999</v>
      </c>
      <c r="F36">
        <v>13684.095096499999</v>
      </c>
      <c r="G36">
        <v>902277</v>
      </c>
      <c r="H36">
        <v>0</v>
      </c>
      <c r="I36">
        <v>1515718</v>
      </c>
      <c r="J36">
        <v>1515718</v>
      </c>
      <c r="K36">
        <v>4152.6520547945202</v>
      </c>
      <c r="L36">
        <v>59113002</v>
      </c>
      <c r="M36">
        <v>37892950</v>
      </c>
      <c r="N36">
        <v>21220052</v>
      </c>
      <c r="O36">
        <v>11076.494202292393</v>
      </c>
      <c r="P36">
        <v>155070.91883209351</v>
      </c>
      <c r="Q36">
        <v>1550.709188320935</v>
      </c>
      <c r="S36">
        <v>6440</v>
      </c>
      <c r="T36">
        <v>6507</v>
      </c>
      <c r="W36">
        <v>6703</v>
      </c>
      <c r="X36">
        <v>6702</v>
      </c>
    </row>
    <row r="37" spans="1:24" x14ac:dyDescent="0.3">
      <c r="A37">
        <v>55</v>
      </c>
      <c r="C37" t="s">
        <v>297</v>
      </c>
      <c r="D37" t="s">
        <v>278</v>
      </c>
      <c r="E37">
        <v>147.619873625</v>
      </c>
      <c r="F37">
        <v>14761.9873625</v>
      </c>
      <c r="G37">
        <v>136428</v>
      </c>
      <c r="H37">
        <v>0</v>
      </c>
      <c r="I37">
        <v>81509.19</v>
      </c>
      <c r="J37">
        <v>81509.19</v>
      </c>
      <c r="K37">
        <v>223.31284931506849</v>
      </c>
      <c r="L37">
        <v>3178858.41</v>
      </c>
      <c r="M37">
        <v>2037729.75</v>
      </c>
      <c r="N37">
        <v>1141128.6600000001</v>
      </c>
      <c r="O37">
        <v>552.15593943034037</v>
      </c>
      <c r="P37">
        <v>7730.1831520247661</v>
      </c>
      <c r="Q37">
        <v>77.30183152024766</v>
      </c>
    </row>
    <row r="38" spans="1:24" x14ac:dyDescent="0.3">
      <c r="A38">
        <v>56</v>
      </c>
      <c r="C38" t="s">
        <v>52</v>
      </c>
      <c r="D38" t="s">
        <v>278</v>
      </c>
      <c r="E38">
        <v>836.70427342400001</v>
      </c>
      <c r="F38">
        <v>83670.427342399998</v>
      </c>
      <c r="G38">
        <v>1770519</v>
      </c>
      <c r="H38">
        <v>1538997</v>
      </c>
      <c r="I38">
        <v>1405832.88</v>
      </c>
      <c r="J38">
        <v>1405832.88</v>
      </c>
      <c r="K38">
        <v>3851.5969315068492</v>
      </c>
      <c r="L38">
        <v>54827482.319999993</v>
      </c>
      <c r="M38">
        <v>35145822</v>
      </c>
      <c r="N38">
        <v>19681660.319999993</v>
      </c>
      <c r="O38">
        <v>1680.2028203429456</v>
      </c>
      <c r="P38">
        <v>23522.839484801232</v>
      </c>
      <c r="Q38">
        <v>235.22839484801233</v>
      </c>
    </row>
    <row r="39" spans="1:24" x14ac:dyDescent="0.3">
      <c r="A39">
        <v>57</v>
      </c>
      <c r="C39" t="s">
        <v>396</v>
      </c>
      <c r="D39" t="s">
        <v>278</v>
      </c>
      <c r="E39">
        <v>1550.91378751</v>
      </c>
      <c r="F39">
        <v>155091.37875100001</v>
      </c>
      <c r="G39">
        <v>41175362</v>
      </c>
      <c r="H39">
        <v>35372522</v>
      </c>
      <c r="I39">
        <v>42641449.429999992</v>
      </c>
      <c r="J39">
        <v>42641449.429999992</v>
      </c>
      <c r="K39">
        <v>116825.88884931504</v>
      </c>
      <c r="L39">
        <v>1663016527.7699997</v>
      </c>
      <c r="M39">
        <v>1066036235.7499998</v>
      </c>
      <c r="N39">
        <v>596980292.01999998</v>
      </c>
      <c r="O39">
        <v>27494.403475812189</v>
      </c>
      <c r="P39">
        <v>384921.64866137074</v>
      </c>
      <c r="Q39">
        <v>3849.2164866137068</v>
      </c>
    </row>
    <row r="40" spans="1:24" x14ac:dyDescent="0.3">
      <c r="A40">
        <v>58</v>
      </c>
      <c r="C40" t="s">
        <v>140</v>
      </c>
      <c r="D40" t="s">
        <v>278</v>
      </c>
      <c r="E40">
        <v>1740.3271035800001</v>
      </c>
      <c r="F40">
        <v>174032.71035800001</v>
      </c>
      <c r="G40">
        <v>9429650</v>
      </c>
      <c r="H40">
        <v>10244863</v>
      </c>
      <c r="I40">
        <v>9634923.5299999993</v>
      </c>
      <c r="J40">
        <v>9634923.5299999993</v>
      </c>
      <c r="K40">
        <v>26397.050767123284</v>
      </c>
      <c r="L40">
        <v>375762017.66999996</v>
      </c>
      <c r="M40">
        <v>240873088.24999997</v>
      </c>
      <c r="N40">
        <v>134888929.41999999</v>
      </c>
      <c r="O40">
        <v>5536.2716067457359</v>
      </c>
      <c r="P40">
        <v>77507.802494440301</v>
      </c>
      <c r="Q40">
        <v>775.07802494440296</v>
      </c>
    </row>
    <row r="41" spans="1:24" x14ac:dyDescent="0.3">
      <c r="A41">
        <v>59</v>
      </c>
      <c r="C41" t="s">
        <v>60</v>
      </c>
      <c r="D41" t="s">
        <v>278</v>
      </c>
      <c r="E41">
        <v>1384.5280163100001</v>
      </c>
      <c r="F41">
        <v>138452.80163100001</v>
      </c>
      <c r="G41">
        <v>234943</v>
      </c>
      <c r="H41">
        <v>0</v>
      </c>
      <c r="I41">
        <v>228967.87</v>
      </c>
      <c r="J41">
        <v>228967.87</v>
      </c>
      <c r="K41">
        <v>627.30923287671237</v>
      </c>
      <c r="L41">
        <v>8929746.9299999997</v>
      </c>
      <c r="M41">
        <v>5724196.75</v>
      </c>
      <c r="N41">
        <v>3205550.1799999997</v>
      </c>
      <c r="O41">
        <v>165.37611901147213</v>
      </c>
      <c r="P41">
        <v>2315.2656661606097</v>
      </c>
      <c r="Q41">
        <v>23.152656661606095</v>
      </c>
    </row>
    <row r="42" spans="1:24" x14ac:dyDescent="0.3">
      <c r="A42">
        <v>60</v>
      </c>
      <c r="C42" t="s">
        <v>145</v>
      </c>
      <c r="D42" t="s">
        <v>412</v>
      </c>
      <c r="E42">
        <v>356.98590779099999</v>
      </c>
      <c r="F42">
        <v>35698.590779099999</v>
      </c>
      <c r="G42">
        <v>27029894</v>
      </c>
      <c r="H42">
        <v>0</v>
      </c>
      <c r="I42">
        <v>26505574.030000001</v>
      </c>
      <c r="J42">
        <v>26505574.030000001</v>
      </c>
      <c r="K42">
        <v>72618.011041095888</v>
      </c>
      <c r="L42">
        <v>1033717387.1700001</v>
      </c>
      <c r="M42">
        <v>662639350.75</v>
      </c>
      <c r="N42">
        <v>371078036.42000008</v>
      </c>
      <c r="O42">
        <v>74248.236279169549</v>
      </c>
      <c r="P42">
        <v>1039475.3079083739</v>
      </c>
      <c r="Q42">
        <v>10394.753079083739</v>
      </c>
    </row>
    <row r="43" spans="1:24" x14ac:dyDescent="0.3">
      <c r="A43">
        <v>61</v>
      </c>
      <c r="C43" t="s">
        <v>135</v>
      </c>
      <c r="D43" t="s">
        <v>278</v>
      </c>
      <c r="E43">
        <v>786.35391603999994</v>
      </c>
      <c r="F43">
        <v>78635.391603999989</v>
      </c>
      <c r="G43">
        <v>25978398</v>
      </c>
      <c r="H43">
        <v>26202966</v>
      </c>
      <c r="I43">
        <v>24754598.859999999</v>
      </c>
      <c r="J43">
        <v>24754598.859999999</v>
      </c>
      <c r="K43">
        <v>67820.818794520543</v>
      </c>
      <c r="L43">
        <v>965429355.53999996</v>
      </c>
      <c r="M43">
        <v>618864971.5</v>
      </c>
      <c r="N43">
        <v>346564384.03999996</v>
      </c>
      <c r="O43">
        <v>31480.225830961324</v>
      </c>
      <c r="P43">
        <v>440723.16163345851</v>
      </c>
      <c r="Q43">
        <v>4407.2316163345859</v>
      </c>
    </row>
    <row r="44" spans="1:24" x14ac:dyDescent="0.3">
      <c r="A44">
        <v>62</v>
      </c>
      <c r="C44" t="s">
        <v>174</v>
      </c>
      <c r="D44" t="s">
        <v>291</v>
      </c>
      <c r="E44">
        <v>1052.91961345</v>
      </c>
      <c r="F44">
        <v>105291.961345</v>
      </c>
      <c r="G44">
        <v>12077940</v>
      </c>
      <c r="H44">
        <v>0</v>
      </c>
      <c r="I44">
        <v>12662520</v>
      </c>
      <c r="J44">
        <v>12662520</v>
      </c>
      <c r="K44">
        <v>34691.835616438359</v>
      </c>
      <c r="L44">
        <v>493838280</v>
      </c>
      <c r="M44">
        <v>316563000</v>
      </c>
      <c r="N44">
        <v>177275280</v>
      </c>
      <c r="O44">
        <v>12026.10326396138</v>
      </c>
      <c r="P44">
        <v>168365.44569545932</v>
      </c>
      <c r="Q44">
        <v>1683.6544569545931</v>
      </c>
      <c r="S44">
        <v>34980</v>
      </c>
      <c r="T44">
        <v>34942</v>
      </c>
      <c r="U44">
        <v>34821</v>
      </c>
      <c r="V44">
        <v>34562</v>
      </c>
      <c r="W44">
        <v>34136</v>
      </c>
      <c r="X44">
        <v>33928</v>
      </c>
    </row>
    <row r="45" spans="1:24" x14ac:dyDescent="0.3">
      <c r="A45">
        <v>64</v>
      </c>
      <c r="C45" t="s">
        <v>205</v>
      </c>
      <c r="D45" t="s">
        <v>292</v>
      </c>
      <c r="E45">
        <v>141.143433182</v>
      </c>
      <c r="F45">
        <v>14114.343318199999</v>
      </c>
      <c r="G45">
        <v>968457</v>
      </c>
      <c r="H45">
        <v>0</v>
      </c>
      <c r="I45">
        <v>775999</v>
      </c>
      <c r="J45">
        <v>775999</v>
      </c>
      <c r="K45">
        <v>2126.0246575342467</v>
      </c>
      <c r="L45">
        <v>30263961</v>
      </c>
      <c r="M45">
        <v>19399975</v>
      </c>
      <c r="N45">
        <v>10863986</v>
      </c>
      <c r="O45">
        <v>5497.9461849944792</v>
      </c>
      <c r="P45">
        <v>76971.24658992271</v>
      </c>
      <c r="Q45">
        <v>769.71246589922703</v>
      </c>
      <c r="S45">
        <v>2174</v>
      </c>
      <c r="T45">
        <v>2176</v>
      </c>
      <c r="U45">
        <v>2175</v>
      </c>
      <c r="V45">
        <v>2176</v>
      </c>
      <c r="W45">
        <v>2177</v>
      </c>
      <c r="X45">
        <v>2178</v>
      </c>
    </row>
    <row r="46" spans="1:24" x14ac:dyDescent="0.3">
      <c r="A46">
        <v>65</v>
      </c>
      <c r="C46" t="s">
        <v>217</v>
      </c>
      <c r="D46" t="s">
        <v>293</v>
      </c>
      <c r="E46">
        <v>68.303823373499995</v>
      </c>
      <c r="F46">
        <v>6830.3823373499999</v>
      </c>
      <c r="G46">
        <v>1657363</v>
      </c>
      <c r="H46">
        <v>0</v>
      </c>
      <c r="I46">
        <v>1442574</v>
      </c>
      <c r="J46">
        <v>1442574</v>
      </c>
      <c r="K46">
        <v>3952.2575342465752</v>
      </c>
      <c r="L46">
        <v>56260386</v>
      </c>
      <c r="M46">
        <v>36064350</v>
      </c>
      <c r="N46">
        <v>20196036</v>
      </c>
      <c r="O46">
        <v>21119.959743859363</v>
      </c>
      <c r="P46">
        <v>295679.43641403108</v>
      </c>
      <c r="Q46">
        <v>2956.7943641403103</v>
      </c>
      <c r="S46">
        <v>3852</v>
      </c>
      <c r="T46">
        <v>3853</v>
      </c>
      <c r="W46">
        <v>3843</v>
      </c>
      <c r="X46">
        <v>3848</v>
      </c>
    </row>
    <row r="47" spans="1:24" x14ac:dyDescent="0.3">
      <c r="A47">
        <v>66</v>
      </c>
      <c r="C47" t="s">
        <v>206</v>
      </c>
      <c r="D47" t="s">
        <v>294</v>
      </c>
      <c r="E47">
        <v>250.98323394100001</v>
      </c>
      <c r="F47">
        <v>25098.3233941</v>
      </c>
      <c r="G47">
        <v>889913</v>
      </c>
      <c r="H47">
        <v>0</v>
      </c>
      <c r="I47">
        <v>868346</v>
      </c>
      <c r="J47">
        <v>868346</v>
      </c>
      <c r="K47">
        <v>2379.0301369863014</v>
      </c>
      <c r="L47">
        <v>33865494</v>
      </c>
      <c r="M47">
        <v>21708650</v>
      </c>
      <c r="N47">
        <v>12156844</v>
      </c>
      <c r="O47">
        <v>3459.7769196173749</v>
      </c>
      <c r="P47">
        <v>48436.876874643247</v>
      </c>
      <c r="Q47">
        <v>484.36876874643252</v>
      </c>
      <c r="S47">
        <v>3328</v>
      </c>
      <c r="T47">
        <v>3359</v>
      </c>
      <c r="W47">
        <v>3672</v>
      </c>
      <c r="X47">
        <v>3675</v>
      </c>
    </row>
    <row r="48" spans="1:24" x14ac:dyDescent="0.3">
      <c r="A48">
        <v>67</v>
      </c>
      <c r="C48" t="s">
        <v>191</v>
      </c>
      <c r="D48" t="s">
        <v>283</v>
      </c>
      <c r="E48">
        <v>70.426936935900002</v>
      </c>
      <c r="F48">
        <v>7042.6936935900003</v>
      </c>
      <c r="G48">
        <v>1444999</v>
      </c>
      <c r="H48">
        <v>0</v>
      </c>
      <c r="I48">
        <v>1273959</v>
      </c>
      <c r="J48">
        <v>1273959</v>
      </c>
      <c r="K48">
        <v>3490.2986301369865</v>
      </c>
      <c r="L48">
        <v>49684401</v>
      </c>
      <c r="M48">
        <v>31848975</v>
      </c>
      <c r="N48">
        <v>17835426</v>
      </c>
      <c r="O48">
        <v>18089.087150837051</v>
      </c>
      <c r="P48">
        <v>253247.22011171869</v>
      </c>
      <c r="Q48">
        <v>2532.4722011171871</v>
      </c>
      <c r="S48">
        <v>2983</v>
      </c>
      <c r="T48">
        <v>2887</v>
      </c>
      <c r="W48">
        <v>2961</v>
      </c>
      <c r="X48">
        <v>2962</v>
      </c>
    </row>
    <row r="49" spans="1:17" x14ac:dyDescent="0.3">
      <c r="A49">
        <v>70</v>
      </c>
      <c r="B49" t="s">
        <v>451</v>
      </c>
      <c r="C49" t="s">
        <v>454</v>
      </c>
      <c r="D49" t="s">
        <v>4</v>
      </c>
      <c r="E49">
        <v>1800.6073113699999</v>
      </c>
      <c r="F49">
        <v>180060.731137</v>
      </c>
      <c r="G49">
        <v>0</v>
      </c>
      <c r="H49">
        <v>0</v>
      </c>
      <c r="I49">
        <v>0</v>
      </c>
      <c r="J49">
        <v>2032461.9710583347</v>
      </c>
      <c r="K49">
        <v>5568.3889618036565</v>
      </c>
      <c r="L49">
        <v>79266016.871275052</v>
      </c>
      <c r="M49">
        <v>56908935.189633369</v>
      </c>
      <c r="N49">
        <v>22357081.681641683</v>
      </c>
      <c r="O49">
        <v>1128.7646996789806</v>
      </c>
      <c r="P49">
        <v>12416.411696468787</v>
      </c>
      <c r="Q49">
        <v>124.16411696468788</v>
      </c>
    </row>
    <row r="50" spans="1:17" x14ac:dyDescent="0.3">
      <c r="A50">
        <v>71</v>
      </c>
      <c r="B50" t="s">
        <v>451</v>
      </c>
      <c r="C50" t="s">
        <v>455</v>
      </c>
      <c r="D50" t="s">
        <v>4</v>
      </c>
      <c r="E50">
        <v>1854.24744766</v>
      </c>
      <c r="F50">
        <v>185424.74476600002</v>
      </c>
      <c r="G50">
        <v>0</v>
      </c>
      <c r="H50">
        <v>0</v>
      </c>
      <c r="I50">
        <v>0</v>
      </c>
      <c r="J50">
        <v>2093009.0633884564</v>
      </c>
      <c r="K50">
        <v>5734.2714065437158</v>
      </c>
      <c r="L50">
        <v>81627353.472149804</v>
      </c>
      <c r="M50">
        <v>58604253.774876781</v>
      </c>
      <c r="N50">
        <v>23023099.697273023</v>
      </c>
      <c r="O50">
        <v>1128.7646996789806</v>
      </c>
      <c r="P50">
        <v>12416.411696468789</v>
      </c>
      <c r="Q50">
        <v>124.16411696468788</v>
      </c>
    </row>
    <row r="51" spans="1:17" x14ac:dyDescent="0.3">
      <c r="A51">
        <v>72</v>
      </c>
      <c r="B51" t="s">
        <v>451</v>
      </c>
      <c r="C51" t="s">
        <v>456</v>
      </c>
      <c r="D51" t="s">
        <v>4</v>
      </c>
      <c r="E51">
        <v>1875.5183794699999</v>
      </c>
      <c r="F51">
        <v>187551.83794699999</v>
      </c>
      <c r="G51">
        <v>0</v>
      </c>
      <c r="H51">
        <v>0</v>
      </c>
      <c r="I51">
        <v>0</v>
      </c>
      <c r="J51">
        <v>2117018.9403448626</v>
      </c>
      <c r="K51">
        <v>5800.051891355788</v>
      </c>
      <c r="L51">
        <v>82563738.673449636</v>
      </c>
      <c r="M51">
        <v>59276530.329656154</v>
      </c>
      <c r="N51">
        <v>23287208.343793482</v>
      </c>
      <c r="O51">
        <v>1128.7646996789806</v>
      </c>
      <c r="P51">
        <v>12416.411696468782</v>
      </c>
      <c r="Q51">
        <v>124.16411696468782</v>
      </c>
    </row>
    <row r="52" spans="1:17" x14ac:dyDescent="0.3">
      <c r="A52">
        <v>73</v>
      </c>
      <c r="B52" t="s">
        <v>451</v>
      </c>
      <c r="C52" t="s">
        <v>457</v>
      </c>
      <c r="D52" t="s">
        <v>4</v>
      </c>
      <c r="E52">
        <v>1979.6366171</v>
      </c>
      <c r="F52">
        <v>197963.66170999999</v>
      </c>
      <c r="G52">
        <v>0</v>
      </c>
      <c r="H52">
        <v>0</v>
      </c>
      <c r="I52">
        <v>0</v>
      </c>
      <c r="J52">
        <v>2234543.9315743945</v>
      </c>
      <c r="K52">
        <v>6122.0381686969713</v>
      </c>
      <c r="L52">
        <v>87147213.331401378</v>
      </c>
      <c r="M52">
        <v>62567230.084083043</v>
      </c>
      <c r="N52">
        <v>24579983.247318335</v>
      </c>
      <c r="O52">
        <v>1128.7646996789806</v>
      </c>
      <c r="P52">
        <v>12416.411696468784</v>
      </c>
      <c r="Q52">
        <v>124.16411696468785</v>
      </c>
    </row>
    <row r="53" spans="1:17" x14ac:dyDescent="0.3">
      <c r="A53">
        <v>74</v>
      </c>
      <c r="B53" t="s">
        <v>451</v>
      </c>
      <c r="C53" t="s">
        <v>402</v>
      </c>
      <c r="D53" t="s">
        <v>413</v>
      </c>
      <c r="E53">
        <v>1754.1390804600001</v>
      </c>
      <c r="F53">
        <v>175413.908046</v>
      </c>
      <c r="G53">
        <v>0</v>
      </c>
      <c r="H53">
        <v>0</v>
      </c>
      <c r="I53">
        <v>0</v>
      </c>
      <c r="J53">
        <v>1980010.2723505951</v>
      </c>
      <c r="K53">
        <v>5424.6856776728637</v>
      </c>
      <c r="L53">
        <v>77220400.621673211</v>
      </c>
      <c r="M53">
        <v>55440287.625816666</v>
      </c>
      <c r="N53">
        <v>21780112.995856546</v>
      </c>
      <c r="O53">
        <v>1128.7646996789806</v>
      </c>
      <c r="P53">
        <v>12416.411696468786</v>
      </c>
      <c r="Q53">
        <v>124.16411696468786</v>
      </c>
    </row>
    <row r="54" spans="1:17" x14ac:dyDescent="0.3">
      <c r="A54">
        <v>75</v>
      </c>
      <c r="B54" t="s">
        <v>451</v>
      </c>
      <c r="C54" t="s">
        <v>403</v>
      </c>
      <c r="D54" t="s">
        <v>413</v>
      </c>
      <c r="E54">
        <v>1954.2442499599999</v>
      </c>
      <c r="F54">
        <v>195424.42499599999</v>
      </c>
      <c r="G54">
        <v>0</v>
      </c>
      <c r="H54">
        <v>0</v>
      </c>
      <c r="I54">
        <v>0</v>
      </c>
      <c r="J54">
        <v>2205881.9239054741</v>
      </c>
      <c r="K54">
        <v>6043.5121202889704</v>
      </c>
      <c r="L54">
        <v>86029395.032313496</v>
      </c>
      <c r="M54">
        <v>61764693.869353279</v>
      </c>
      <c r="N54">
        <v>24264701.162960216</v>
      </c>
      <c r="O54">
        <v>1128.7646996789806</v>
      </c>
      <c r="P54">
        <v>12416.411696468787</v>
      </c>
      <c r="Q54">
        <v>124.16411696468788</v>
      </c>
    </row>
    <row r="55" spans="1:17" x14ac:dyDescent="0.3">
      <c r="A55">
        <v>76</v>
      </c>
      <c r="B55" t="s">
        <v>451</v>
      </c>
      <c r="C55" t="s">
        <v>585</v>
      </c>
      <c r="E55">
        <v>1954.51179832</v>
      </c>
      <c r="F55">
        <v>195451.17983199999</v>
      </c>
      <c r="G55">
        <v>0</v>
      </c>
      <c r="H55">
        <v>0</v>
      </c>
      <c r="I55">
        <v>0</v>
      </c>
      <c r="J55">
        <v>2206183.923049699</v>
      </c>
      <c r="K55">
        <v>6044.3395152046551</v>
      </c>
      <c r="L55">
        <v>86041172.998938262</v>
      </c>
      <c r="M55">
        <v>61773149.845391572</v>
      </c>
      <c r="N55">
        <v>24268023.153546691</v>
      </c>
      <c r="O55">
        <v>1128.7646996789806</v>
      </c>
      <c r="P55">
        <v>12416.411696468787</v>
      </c>
      <c r="Q55">
        <v>124.16411696468788</v>
      </c>
    </row>
    <row r="56" spans="1:17" x14ac:dyDescent="0.3">
      <c r="A56">
        <v>77</v>
      </c>
      <c r="B56" t="s">
        <v>451</v>
      </c>
      <c r="C56" t="s">
        <v>406</v>
      </c>
      <c r="E56">
        <v>1992.35378335</v>
      </c>
      <c r="F56">
        <v>199235.37833499999</v>
      </c>
      <c r="G56">
        <v>0</v>
      </c>
      <c r="H56">
        <v>0</v>
      </c>
      <c r="I56">
        <v>0</v>
      </c>
      <c r="J56">
        <v>2248898.6199173434</v>
      </c>
      <c r="K56">
        <v>6161.3660819653242</v>
      </c>
      <c r="L56">
        <v>87707046.176776394</v>
      </c>
      <c r="M56">
        <v>62969161.357685611</v>
      </c>
      <c r="N56">
        <v>24737884.819090784</v>
      </c>
      <c r="O56">
        <v>1128.7646996789806</v>
      </c>
      <c r="P56">
        <v>12416.411696468789</v>
      </c>
      <c r="Q56">
        <v>124.16411696468789</v>
      </c>
    </row>
    <row r="57" spans="1:17" x14ac:dyDescent="0.3">
      <c r="A57">
        <v>78</v>
      </c>
      <c r="B57" t="s">
        <v>451</v>
      </c>
      <c r="C57" t="s">
        <v>407</v>
      </c>
      <c r="E57">
        <v>1452.8348183099999</v>
      </c>
      <c r="F57">
        <v>145283.48183099998</v>
      </c>
      <c r="G57">
        <v>0</v>
      </c>
      <c r="H57">
        <v>0</v>
      </c>
      <c r="I57">
        <v>0</v>
      </c>
      <c r="J57">
        <v>1639908.6573728535</v>
      </c>
      <c r="K57">
        <v>4492.9004311585031</v>
      </c>
      <c r="L57">
        <v>63956437.637541287</v>
      </c>
      <c r="M57">
        <v>45917442.4064399</v>
      </c>
      <c r="N57">
        <v>18038995.231101386</v>
      </c>
      <c r="O57">
        <v>1128.7646996789806</v>
      </c>
      <c r="P57">
        <v>12416.411696468786</v>
      </c>
      <c r="Q57">
        <v>124.16411696468786</v>
      </c>
    </row>
    <row r="58" spans="1:17" x14ac:dyDescent="0.3">
      <c r="A58">
        <v>79</v>
      </c>
      <c r="B58" t="s">
        <v>451</v>
      </c>
      <c r="C58" t="s">
        <v>404</v>
      </c>
      <c r="D58" t="s">
        <v>414</v>
      </c>
      <c r="E58">
        <v>1580.6649910399999</v>
      </c>
      <c r="F58">
        <v>158066.49910399999</v>
      </c>
      <c r="G58">
        <v>0</v>
      </c>
      <c r="H58">
        <v>0</v>
      </c>
      <c r="I58">
        <v>0</v>
      </c>
      <c r="J58">
        <v>1784198.8439043441</v>
      </c>
      <c r="K58">
        <v>4888.2160106968331</v>
      </c>
      <c r="L58">
        <v>69583754.912269428</v>
      </c>
      <c r="M58">
        <v>49957567.629321635</v>
      </c>
      <c r="N58">
        <v>19626187.282947794</v>
      </c>
      <c r="O58">
        <v>1128.7646996789806</v>
      </c>
      <c r="P58">
        <v>12416.411696468793</v>
      </c>
      <c r="Q58">
        <v>124.16411696468792</v>
      </c>
    </row>
    <row r="59" spans="1:17" x14ac:dyDescent="0.3">
      <c r="A59">
        <v>80</v>
      </c>
      <c r="B59" t="s">
        <v>451</v>
      </c>
      <c r="C59" t="s">
        <v>390</v>
      </c>
      <c r="E59">
        <v>1556.5789731</v>
      </c>
      <c r="F59">
        <v>155657.89731</v>
      </c>
      <c r="G59">
        <v>0</v>
      </c>
      <c r="H59">
        <v>0</v>
      </c>
      <c r="I59">
        <v>0</v>
      </c>
      <c r="J59">
        <v>1757011.3970978374</v>
      </c>
      <c r="K59">
        <v>4813.7298550625683</v>
      </c>
      <c r="L59">
        <v>68523444.486815661</v>
      </c>
      <c r="M59">
        <v>49196319.118739448</v>
      </c>
      <c r="N59">
        <v>19327125.368076213</v>
      </c>
      <c r="O59">
        <v>1128.7646996789806</v>
      </c>
      <c r="P59">
        <v>12416.411696468787</v>
      </c>
      <c r="Q59">
        <v>124.16411696468786</v>
      </c>
    </row>
    <row r="60" spans="1:17" x14ac:dyDescent="0.3">
      <c r="A60">
        <v>81</v>
      </c>
      <c r="B60" t="s">
        <v>451</v>
      </c>
      <c r="C60" t="s">
        <v>391</v>
      </c>
      <c r="E60">
        <v>1305.2854024999999</v>
      </c>
      <c r="F60">
        <v>130528.54024999999</v>
      </c>
      <c r="G60">
        <v>0</v>
      </c>
      <c r="H60">
        <v>0</v>
      </c>
      <c r="I60">
        <v>0</v>
      </c>
      <c r="J60">
        <v>1473360.0853482697</v>
      </c>
      <c r="K60">
        <v>4036.6029735569032</v>
      </c>
      <c r="L60">
        <v>57461043.328582518</v>
      </c>
      <c r="M60">
        <v>41254082.389751554</v>
      </c>
      <c r="N60">
        <v>16206960.938830964</v>
      </c>
      <c r="O60">
        <v>1128.7646996789806</v>
      </c>
      <c r="P60">
        <v>12416.411696468784</v>
      </c>
      <c r="Q60">
        <v>124.16411696468785</v>
      </c>
    </row>
    <row r="61" spans="1:17" x14ac:dyDescent="0.3">
      <c r="A61">
        <v>82</v>
      </c>
      <c r="B61" t="s">
        <v>451</v>
      </c>
      <c r="C61" t="s">
        <v>392</v>
      </c>
      <c r="E61">
        <v>1563.9850724099999</v>
      </c>
      <c r="F61">
        <v>156398.50724099998</v>
      </c>
      <c r="G61">
        <v>0</v>
      </c>
      <c r="H61">
        <v>0</v>
      </c>
      <c r="I61">
        <v>0</v>
      </c>
      <c r="J61">
        <v>1765371.1405612824</v>
      </c>
      <c r="K61">
        <v>4836.6332618117322</v>
      </c>
      <c r="L61">
        <v>68849474.481890008</v>
      </c>
      <c r="M61">
        <v>49430391.935715906</v>
      </c>
      <c r="N61">
        <v>19419082.546174102</v>
      </c>
      <c r="O61">
        <v>1128.7646996789806</v>
      </c>
      <c r="P61">
        <v>12416.411696468784</v>
      </c>
      <c r="Q61">
        <v>124.16411696468785</v>
      </c>
    </row>
    <row r="62" spans="1:17" x14ac:dyDescent="0.3">
      <c r="A62">
        <v>83</v>
      </c>
      <c r="B62" t="s">
        <v>451</v>
      </c>
      <c r="C62" t="s">
        <v>405</v>
      </c>
      <c r="D62" t="s">
        <v>414</v>
      </c>
      <c r="E62">
        <v>1469.27679831</v>
      </c>
      <c r="F62">
        <v>146927.67983099999</v>
      </c>
      <c r="G62">
        <v>0</v>
      </c>
      <c r="H62">
        <v>0</v>
      </c>
      <c r="I62">
        <v>0</v>
      </c>
      <c r="J62">
        <v>1658467.7839896814</v>
      </c>
      <c r="K62">
        <v>4543.7473533963876</v>
      </c>
      <c r="L62">
        <v>64680243.575597577</v>
      </c>
      <c r="M62">
        <v>46437097.951711081</v>
      </c>
      <c r="N62">
        <v>18243145.623886496</v>
      </c>
      <c r="O62">
        <v>1128.7646996789806</v>
      </c>
      <c r="P62">
        <v>12416.411696468787</v>
      </c>
      <c r="Q62">
        <v>124.16411696468789</v>
      </c>
    </row>
    <row r="63" spans="1:17" x14ac:dyDescent="0.3">
      <c r="A63">
        <v>84</v>
      </c>
      <c r="B63" t="s">
        <v>451</v>
      </c>
      <c r="C63" t="s">
        <v>398</v>
      </c>
      <c r="E63">
        <v>1701.22727321</v>
      </c>
      <c r="F63">
        <v>170122.72732100001</v>
      </c>
      <c r="G63">
        <v>0</v>
      </c>
      <c r="H63">
        <v>0</v>
      </c>
      <c r="I63">
        <v>0</v>
      </c>
      <c r="J63">
        <v>1920285.2921305767</v>
      </c>
      <c r="K63">
        <v>5261.0555948782921</v>
      </c>
      <c r="L63">
        <v>74891126.393092483</v>
      </c>
      <c r="M63">
        <v>53767988.179656148</v>
      </c>
      <c r="N63">
        <v>21123138.213436335</v>
      </c>
      <c r="O63">
        <v>1128.7646996789806</v>
      </c>
      <c r="P63">
        <v>12416.411696468782</v>
      </c>
      <c r="Q63">
        <v>124.16411696468781</v>
      </c>
    </row>
    <row r="64" spans="1:17" x14ac:dyDescent="0.3">
      <c r="A64">
        <v>85</v>
      </c>
      <c r="B64" t="s">
        <v>451</v>
      </c>
      <c r="C64" t="s">
        <v>399</v>
      </c>
      <c r="E64">
        <v>1310.01401035</v>
      </c>
      <c r="F64">
        <v>131001.401035</v>
      </c>
      <c r="G64">
        <v>0</v>
      </c>
      <c r="H64">
        <v>0</v>
      </c>
      <c r="I64">
        <v>0</v>
      </c>
      <c r="J64">
        <v>1478697.5709679748</v>
      </c>
      <c r="K64">
        <v>4051.226221830068</v>
      </c>
      <c r="L64">
        <v>57669205.267751016</v>
      </c>
      <c r="M64">
        <v>41403531.987103298</v>
      </c>
      <c r="N64">
        <v>16265673.280647717</v>
      </c>
      <c r="O64">
        <v>1128.7646996789806</v>
      </c>
      <c r="P64">
        <v>12416.411696468782</v>
      </c>
      <c r="Q64">
        <v>124.16411696468782</v>
      </c>
    </row>
    <row r="65" spans="1:17" x14ac:dyDescent="0.3">
      <c r="A65">
        <v>86</v>
      </c>
      <c r="B65" t="s">
        <v>451</v>
      </c>
      <c r="C65" t="s">
        <v>400</v>
      </c>
      <c r="E65">
        <v>1605.8551203699999</v>
      </c>
      <c r="F65">
        <v>160585.51203699998</v>
      </c>
      <c r="G65">
        <v>0</v>
      </c>
      <c r="H65">
        <v>0</v>
      </c>
      <c r="I65">
        <v>0</v>
      </c>
      <c r="J65">
        <v>1812632.5726723962</v>
      </c>
      <c r="K65">
        <v>4966.1166374586201</v>
      </c>
      <c r="L65">
        <v>70692670.334223449</v>
      </c>
      <c r="M65">
        <v>50753712.034827091</v>
      </c>
      <c r="N65">
        <v>19938958.299396358</v>
      </c>
      <c r="O65">
        <v>1128.7646996789806</v>
      </c>
      <c r="P65">
        <v>12416.411696468787</v>
      </c>
      <c r="Q65">
        <v>124.16411696468788</v>
      </c>
    </row>
    <row r="66" spans="1:17" x14ac:dyDescent="0.3">
      <c r="A66">
        <v>87</v>
      </c>
      <c r="B66" t="s">
        <v>451</v>
      </c>
      <c r="C66" t="s">
        <v>401</v>
      </c>
      <c r="E66">
        <v>1534.5413511700001</v>
      </c>
      <c r="F66">
        <v>153454.135117</v>
      </c>
      <c r="G66">
        <v>0</v>
      </c>
      <c r="H66">
        <v>0</v>
      </c>
      <c r="I66">
        <v>0</v>
      </c>
      <c r="J66">
        <v>1732136.1073983824</v>
      </c>
      <c r="K66">
        <v>4745.5783764339239</v>
      </c>
      <c r="L66">
        <v>67553308.188536912</v>
      </c>
      <c r="M66">
        <v>48499811.007154703</v>
      </c>
      <c r="N66">
        <v>19053497.181382209</v>
      </c>
      <c r="O66">
        <v>1128.7646996789806</v>
      </c>
      <c r="P66">
        <v>12416.411696468789</v>
      </c>
      <c r="Q66">
        <v>124.16411696468791</v>
      </c>
    </row>
    <row r="67" spans="1:17" x14ac:dyDescent="0.3">
      <c r="A67" t="s">
        <v>448</v>
      </c>
      <c r="J67">
        <v>375580836.98999989</v>
      </c>
      <c r="K67">
        <v>1028988.5944931504</v>
      </c>
      <c r="L67">
        <v>14647652642.610006</v>
      </c>
      <c r="N67">
        <v>4700131717.8599987</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G62"/>
  <sheetViews>
    <sheetView workbookViewId="0">
      <selection activeCell="F13" sqref="F13"/>
    </sheetView>
  </sheetViews>
  <sheetFormatPr defaultRowHeight="14.4" x14ac:dyDescent="0.3"/>
  <cols>
    <col min="1" max="1" width="13.21875" bestFit="1" customWidth="1"/>
    <col min="2" max="2" width="26" bestFit="1" customWidth="1"/>
    <col min="3" max="3" width="35.33203125" bestFit="1" customWidth="1"/>
    <col min="4" max="4" width="25.88671875" bestFit="1" customWidth="1"/>
    <col min="5" max="5" width="15.33203125" bestFit="1" customWidth="1"/>
    <col min="6" max="6" width="13.33203125" bestFit="1" customWidth="1"/>
    <col min="7" max="7" width="12" bestFit="1" customWidth="1"/>
  </cols>
  <sheetData>
    <row r="1" spans="1:7" x14ac:dyDescent="0.3">
      <c r="A1" t="s">
        <v>614</v>
      </c>
      <c r="B1" t="s">
        <v>615</v>
      </c>
      <c r="C1" t="s">
        <v>616</v>
      </c>
      <c r="D1" t="s">
        <v>617</v>
      </c>
      <c r="E1" t="s">
        <v>618</v>
      </c>
      <c r="F1" t="s">
        <v>473</v>
      </c>
      <c r="G1" t="s">
        <v>474</v>
      </c>
    </row>
    <row r="2" spans="1:7" x14ac:dyDescent="0.3">
      <c r="A2">
        <v>1</v>
      </c>
      <c r="B2">
        <v>7</v>
      </c>
      <c r="C2" s="56" t="s">
        <v>153</v>
      </c>
      <c r="D2" s="56" t="s">
        <v>278</v>
      </c>
      <c r="E2">
        <v>212932.07624947745</v>
      </c>
      <c r="F2">
        <v>1992817336.1830597</v>
      </c>
      <c r="G2">
        <v>1992.8173361830598</v>
      </c>
    </row>
    <row r="3" spans="1:7" x14ac:dyDescent="0.3">
      <c r="A3">
        <v>2</v>
      </c>
      <c r="B3">
        <v>11</v>
      </c>
      <c r="C3" s="56" t="s">
        <v>237</v>
      </c>
      <c r="D3" s="56" t="s">
        <v>278</v>
      </c>
      <c r="E3">
        <v>285796.93396459171</v>
      </c>
      <c r="F3">
        <v>2006766988.478121</v>
      </c>
      <c r="G3">
        <v>2006.766988478121</v>
      </c>
    </row>
    <row r="4" spans="1:7" x14ac:dyDescent="0.3">
      <c r="A4">
        <v>3</v>
      </c>
      <c r="B4">
        <v>12</v>
      </c>
      <c r="C4" s="56" t="s">
        <v>224</v>
      </c>
      <c r="D4" s="56" t="s">
        <v>278</v>
      </c>
      <c r="E4">
        <v>183448.08912222934</v>
      </c>
      <c r="F4">
        <v>1811514774.810467</v>
      </c>
      <c r="G4">
        <v>1811.5147748104671</v>
      </c>
    </row>
    <row r="5" spans="1:7" x14ac:dyDescent="0.3">
      <c r="A5">
        <v>4</v>
      </c>
      <c r="B5">
        <v>15</v>
      </c>
      <c r="C5" s="56" t="s">
        <v>150</v>
      </c>
      <c r="D5" s="56" t="s">
        <v>278</v>
      </c>
      <c r="E5">
        <v>186839.60505903003</v>
      </c>
      <c r="F5">
        <v>1510735477.4609315</v>
      </c>
      <c r="G5">
        <v>1510.7354774609316</v>
      </c>
    </row>
    <row r="6" spans="1:7" x14ac:dyDescent="0.3">
      <c r="A6">
        <v>5</v>
      </c>
      <c r="B6">
        <v>18</v>
      </c>
      <c r="C6" s="56" t="s">
        <v>152</v>
      </c>
      <c r="D6" s="56" t="s">
        <v>278</v>
      </c>
      <c r="E6">
        <v>219202.8574462074</v>
      </c>
      <c r="F6">
        <v>1141374855.1596432</v>
      </c>
      <c r="G6">
        <v>1141.3748551596432</v>
      </c>
    </row>
    <row r="7" spans="1:7" x14ac:dyDescent="0.3">
      <c r="A7">
        <v>6</v>
      </c>
      <c r="B7">
        <v>20</v>
      </c>
      <c r="C7" s="56" t="s">
        <v>592</v>
      </c>
      <c r="D7" s="56" t="s">
        <v>4</v>
      </c>
      <c r="E7">
        <v>165452.11002353506</v>
      </c>
      <c r="F7">
        <v>1090608927.4516699</v>
      </c>
      <c r="G7">
        <v>1090.6089274516698</v>
      </c>
    </row>
    <row r="8" spans="1:7" x14ac:dyDescent="0.3">
      <c r="A8">
        <v>7</v>
      </c>
      <c r="B8">
        <v>21</v>
      </c>
      <c r="C8" s="56" t="s">
        <v>108</v>
      </c>
      <c r="D8" s="56" t="s">
        <v>278</v>
      </c>
      <c r="E8">
        <v>210282.66435393624</v>
      </c>
      <c r="F8">
        <v>1604235427.1347718</v>
      </c>
      <c r="G8">
        <v>1604.2354271347717</v>
      </c>
    </row>
    <row r="9" spans="1:7" x14ac:dyDescent="0.3">
      <c r="A9">
        <v>8</v>
      </c>
      <c r="B9">
        <v>31</v>
      </c>
      <c r="C9" s="56" t="s">
        <v>259</v>
      </c>
      <c r="D9" s="56" t="s">
        <v>278</v>
      </c>
      <c r="E9">
        <v>180697.50567080622</v>
      </c>
      <c r="F9">
        <v>2015529970.5195875</v>
      </c>
      <c r="G9">
        <v>2015.5299705195876</v>
      </c>
    </row>
    <row r="10" spans="1:7" x14ac:dyDescent="0.3">
      <c r="A10">
        <v>9</v>
      </c>
      <c r="B10">
        <v>43</v>
      </c>
      <c r="C10" s="56" t="s">
        <v>250</v>
      </c>
      <c r="D10" s="56" t="s">
        <v>278</v>
      </c>
      <c r="E10">
        <v>219607.01128274505</v>
      </c>
      <c r="F10">
        <v>1935287548.6254194</v>
      </c>
      <c r="G10">
        <v>1935.2875486254193</v>
      </c>
    </row>
    <row r="11" spans="1:7" x14ac:dyDescent="0.3">
      <c r="A11">
        <v>10</v>
      </c>
      <c r="B11">
        <v>44</v>
      </c>
      <c r="C11" s="56" t="s">
        <v>139</v>
      </c>
      <c r="D11" s="56" t="s">
        <v>278</v>
      </c>
      <c r="E11">
        <v>35753.651141617935</v>
      </c>
      <c r="F11">
        <v>71380492.315784082</v>
      </c>
      <c r="G11">
        <v>71.380492315784082</v>
      </c>
    </row>
    <row r="12" spans="1:7" x14ac:dyDescent="0.3">
      <c r="A12">
        <v>11</v>
      </c>
      <c r="B12">
        <v>48</v>
      </c>
      <c r="C12" s="56" t="s">
        <v>393</v>
      </c>
      <c r="D12" s="56" t="s">
        <v>278</v>
      </c>
      <c r="E12">
        <v>78426.114665657427</v>
      </c>
      <c r="F12">
        <v>239428427.5842227</v>
      </c>
      <c r="G12">
        <v>239.4284275842227</v>
      </c>
    </row>
    <row r="13" spans="1:7" x14ac:dyDescent="0.3">
      <c r="A13">
        <v>12</v>
      </c>
      <c r="B13">
        <v>50</v>
      </c>
      <c r="C13" s="56" t="s">
        <v>394</v>
      </c>
      <c r="D13" s="56" t="s">
        <v>278</v>
      </c>
      <c r="E13">
        <v>76206.571554633789</v>
      </c>
      <c r="F13">
        <v>244528783.11177817</v>
      </c>
      <c r="G13">
        <v>244.52878311177818</v>
      </c>
    </row>
    <row r="14" spans="1:7" x14ac:dyDescent="0.3">
      <c r="A14">
        <v>13</v>
      </c>
      <c r="B14">
        <v>51</v>
      </c>
      <c r="C14" s="56" t="s">
        <v>395</v>
      </c>
      <c r="D14" s="56" t="s">
        <v>278</v>
      </c>
      <c r="E14">
        <v>27720.572330618066</v>
      </c>
      <c r="F14">
        <v>27039738.586071111</v>
      </c>
      <c r="G14">
        <v>27.03973858607111</v>
      </c>
    </row>
    <row r="15" spans="1:7" x14ac:dyDescent="0.3">
      <c r="A15">
        <v>14</v>
      </c>
      <c r="B15">
        <v>55</v>
      </c>
      <c r="C15" s="56" t="s">
        <v>297</v>
      </c>
      <c r="D15" s="56" t="s">
        <v>278</v>
      </c>
      <c r="E15">
        <v>56117.947135248367</v>
      </c>
      <c r="F15">
        <v>147619873.62452811</v>
      </c>
      <c r="G15">
        <v>147.61987362452811</v>
      </c>
    </row>
    <row r="16" spans="1:7" x14ac:dyDescent="0.3">
      <c r="A16">
        <v>15</v>
      </c>
      <c r="B16">
        <v>56</v>
      </c>
      <c r="C16" s="56" t="s">
        <v>52</v>
      </c>
      <c r="D16" s="56" t="s">
        <v>278</v>
      </c>
      <c r="E16">
        <v>191433.19620946297</v>
      </c>
      <c r="F16">
        <v>836704273.42410791</v>
      </c>
      <c r="G16">
        <v>836.7042734241079</v>
      </c>
    </row>
    <row r="17" spans="1:7" x14ac:dyDescent="0.3">
      <c r="A17">
        <v>16</v>
      </c>
      <c r="B17">
        <v>57</v>
      </c>
      <c r="C17" s="56" t="s">
        <v>396</v>
      </c>
      <c r="D17" s="56" t="s">
        <v>278</v>
      </c>
      <c r="E17">
        <v>206875.41446192079</v>
      </c>
      <c r="F17">
        <v>1550913787.5124919</v>
      </c>
      <c r="G17">
        <v>1550.913787512492</v>
      </c>
    </row>
    <row r="18" spans="1:7" x14ac:dyDescent="0.3">
      <c r="A18">
        <v>17</v>
      </c>
      <c r="B18">
        <v>58</v>
      </c>
      <c r="C18" s="56" t="s">
        <v>140</v>
      </c>
      <c r="D18" s="56" t="s">
        <v>278</v>
      </c>
      <c r="E18">
        <v>250185.25341399069</v>
      </c>
      <c r="F18">
        <v>1740327103.5800636</v>
      </c>
      <c r="G18">
        <v>1740.3271035800635</v>
      </c>
    </row>
    <row r="19" spans="1:7" x14ac:dyDescent="0.3">
      <c r="A19">
        <v>18</v>
      </c>
      <c r="B19">
        <v>59</v>
      </c>
      <c r="C19" s="56" t="s">
        <v>60</v>
      </c>
      <c r="D19" s="56" t="s">
        <v>278</v>
      </c>
      <c r="E19">
        <v>360899.79775605688</v>
      </c>
      <c r="F19">
        <v>1384528016.3076136</v>
      </c>
      <c r="G19">
        <v>1384.5280163076136</v>
      </c>
    </row>
    <row r="20" spans="1:7" x14ac:dyDescent="0.3">
      <c r="A20">
        <v>19</v>
      </c>
      <c r="B20">
        <v>60</v>
      </c>
      <c r="C20" s="56" t="s">
        <v>145</v>
      </c>
      <c r="D20" s="56" t="s">
        <v>412</v>
      </c>
      <c r="E20">
        <v>95973.876909229904</v>
      </c>
      <c r="F20">
        <v>356985907.79080528</v>
      </c>
      <c r="G20">
        <v>356.9859077908053</v>
      </c>
    </row>
    <row r="21" spans="1:7" x14ac:dyDescent="0.3">
      <c r="A21">
        <v>20</v>
      </c>
      <c r="B21">
        <v>61</v>
      </c>
      <c r="C21" s="56" t="s">
        <v>135</v>
      </c>
      <c r="D21" s="56" t="s">
        <v>278</v>
      </c>
      <c r="E21">
        <v>210262.15952921245</v>
      </c>
      <c r="F21">
        <v>786353916.03973198</v>
      </c>
      <c r="G21">
        <v>786.35391603973198</v>
      </c>
    </row>
    <row r="22" spans="1:7" x14ac:dyDescent="0.3">
      <c r="A22">
        <v>21</v>
      </c>
      <c r="B22">
        <v>10</v>
      </c>
      <c r="C22" s="56" t="s">
        <v>157</v>
      </c>
      <c r="D22" s="56" t="s">
        <v>281</v>
      </c>
      <c r="E22">
        <v>300233.12321627769</v>
      </c>
      <c r="F22">
        <v>1988510502.3434091</v>
      </c>
      <c r="G22">
        <v>1988.5105023434091</v>
      </c>
    </row>
    <row r="23" spans="1:7" x14ac:dyDescent="0.3">
      <c r="A23">
        <v>22</v>
      </c>
      <c r="B23">
        <v>14</v>
      </c>
      <c r="C23" s="56" t="s">
        <v>196</v>
      </c>
      <c r="D23" s="56" t="s">
        <v>282</v>
      </c>
      <c r="E23">
        <v>392474.10304914846</v>
      </c>
      <c r="F23">
        <v>2010798638.098995</v>
      </c>
      <c r="G23">
        <v>2010.7986380989951</v>
      </c>
    </row>
    <row r="24" spans="1:7" x14ac:dyDescent="0.3">
      <c r="A24">
        <v>23</v>
      </c>
      <c r="B24">
        <v>16</v>
      </c>
      <c r="C24" s="56" t="s">
        <v>190</v>
      </c>
      <c r="D24" s="56" t="s">
        <v>283</v>
      </c>
      <c r="E24">
        <v>212667.16017768072</v>
      </c>
      <c r="F24">
        <v>1326466084.7434518</v>
      </c>
      <c r="G24">
        <v>1326.4660847434518</v>
      </c>
    </row>
    <row r="25" spans="1:7" x14ac:dyDescent="0.3">
      <c r="A25">
        <v>24</v>
      </c>
      <c r="B25">
        <v>17</v>
      </c>
      <c r="C25" s="56" t="s">
        <v>197</v>
      </c>
      <c r="D25" s="56" t="s">
        <v>282</v>
      </c>
      <c r="E25">
        <v>340699.8235628581</v>
      </c>
      <c r="F25">
        <v>1861832784.266963</v>
      </c>
      <c r="G25">
        <v>1861.832784266963</v>
      </c>
    </row>
    <row r="26" spans="1:7" x14ac:dyDescent="0.3">
      <c r="A26">
        <v>25</v>
      </c>
      <c r="B26">
        <v>45</v>
      </c>
      <c r="C26" s="56" t="s">
        <v>173</v>
      </c>
      <c r="D26" s="56" t="s">
        <v>287</v>
      </c>
      <c r="E26">
        <v>62120.604850170886</v>
      </c>
      <c r="F26">
        <v>168665540.20575386</v>
      </c>
      <c r="G26">
        <v>168.66554020575387</v>
      </c>
    </row>
    <row r="27" spans="1:7" x14ac:dyDescent="0.3">
      <c r="A27">
        <v>26</v>
      </c>
      <c r="B27">
        <v>46</v>
      </c>
      <c r="C27" s="56" t="s">
        <v>161</v>
      </c>
      <c r="D27" s="56" t="s">
        <v>280</v>
      </c>
      <c r="E27">
        <v>38455.968061345637</v>
      </c>
      <c r="F27">
        <v>61274212.482594818</v>
      </c>
      <c r="G27">
        <v>61.27421248259482</v>
      </c>
    </row>
    <row r="28" spans="1:7" x14ac:dyDescent="0.3">
      <c r="A28">
        <v>27</v>
      </c>
      <c r="B28">
        <v>47</v>
      </c>
      <c r="C28" s="56" t="s">
        <v>162</v>
      </c>
      <c r="D28" s="56" t="s">
        <v>280</v>
      </c>
      <c r="E28">
        <v>125714.63510290862</v>
      </c>
      <c r="F28">
        <v>390641701.49132013</v>
      </c>
      <c r="G28">
        <v>390.64170149132013</v>
      </c>
    </row>
    <row r="29" spans="1:7" x14ac:dyDescent="0.3">
      <c r="A29">
        <v>28</v>
      </c>
      <c r="B29">
        <v>49</v>
      </c>
      <c r="C29" s="56" t="s">
        <v>158</v>
      </c>
      <c r="D29" s="56" t="s">
        <v>288</v>
      </c>
      <c r="E29">
        <v>101331.45541012494</v>
      </c>
      <c r="F29">
        <v>638979656.87195504</v>
      </c>
      <c r="G29">
        <v>638.97965687195506</v>
      </c>
    </row>
    <row r="30" spans="1:7" x14ac:dyDescent="0.3">
      <c r="A30">
        <v>29</v>
      </c>
      <c r="B30">
        <v>52</v>
      </c>
      <c r="C30" s="56" t="s">
        <v>619</v>
      </c>
      <c r="D30" s="56" t="s">
        <v>289</v>
      </c>
      <c r="E30">
        <v>45389.653861668536</v>
      </c>
      <c r="F30">
        <v>83249917.185385793</v>
      </c>
      <c r="G30">
        <v>83.249917185385797</v>
      </c>
    </row>
    <row r="31" spans="1:7" x14ac:dyDescent="0.3">
      <c r="A31">
        <v>30</v>
      </c>
      <c r="B31">
        <v>53</v>
      </c>
      <c r="C31" s="56" t="s">
        <v>225</v>
      </c>
      <c r="D31" s="56" t="s">
        <v>320</v>
      </c>
      <c r="E31">
        <v>26032.558262538983</v>
      </c>
      <c r="F31">
        <v>34675839.734229468</v>
      </c>
      <c r="G31">
        <v>34.67583973422947</v>
      </c>
    </row>
    <row r="32" spans="1:7" x14ac:dyDescent="0.3">
      <c r="A32">
        <v>31</v>
      </c>
      <c r="B32">
        <v>54</v>
      </c>
      <c r="C32" s="56" t="s">
        <v>274</v>
      </c>
      <c r="D32" s="56" t="s">
        <v>290</v>
      </c>
      <c r="E32">
        <v>48103.919485626546</v>
      </c>
      <c r="F32">
        <v>136840950.96514457</v>
      </c>
      <c r="G32">
        <v>136.84095096514457</v>
      </c>
    </row>
    <row r="33" spans="1:7" x14ac:dyDescent="0.3">
      <c r="A33">
        <v>32</v>
      </c>
      <c r="B33">
        <v>62</v>
      </c>
      <c r="C33" s="56" t="s">
        <v>174</v>
      </c>
      <c r="D33" s="56" t="s">
        <v>291</v>
      </c>
      <c r="E33">
        <v>155212.47558762593</v>
      </c>
      <c r="F33">
        <v>1052919613.4531345</v>
      </c>
      <c r="G33">
        <v>1052.9196134531346</v>
      </c>
    </row>
    <row r="34" spans="1:7" x14ac:dyDescent="0.3">
      <c r="A34">
        <v>33</v>
      </c>
      <c r="B34">
        <v>64</v>
      </c>
      <c r="C34" s="56" t="s">
        <v>205</v>
      </c>
      <c r="D34" s="56" t="s">
        <v>292</v>
      </c>
      <c r="E34">
        <v>65148.528258642451</v>
      </c>
      <c r="F34">
        <v>141143433.18151808</v>
      </c>
      <c r="G34">
        <v>141.14343318151808</v>
      </c>
    </row>
    <row r="35" spans="1:7" x14ac:dyDescent="0.3">
      <c r="A35">
        <v>34</v>
      </c>
      <c r="B35">
        <v>65</v>
      </c>
      <c r="C35" s="56" t="s">
        <v>217</v>
      </c>
      <c r="D35" s="56" t="s">
        <v>293</v>
      </c>
      <c r="E35">
        <v>33073.639708147733</v>
      </c>
      <c r="F35">
        <v>68303823.373511404</v>
      </c>
      <c r="G35">
        <v>68.303823373511406</v>
      </c>
    </row>
    <row r="36" spans="1:7" x14ac:dyDescent="0.3">
      <c r="A36">
        <v>35</v>
      </c>
      <c r="B36">
        <v>66</v>
      </c>
      <c r="C36" s="56" t="s">
        <v>206</v>
      </c>
      <c r="D36" s="56" t="s">
        <v>294</v>
      </c>
      <c r="E36">
        <v>70137.518011045104</v>
      </c>
      <c r="F36">
        <v>250983233.9409602</v>
      </c>
      <c r="G36">
        <v>250.98323394096019</v>
      </c>
    </row>
    <row r="37" spans="1:7" x14ac:dyDescent="0.3">
      <c r="A37">
        <v>36</v>
      </c>
      <c r="B37">
        <v>67</v>
      </c>
      <c r="C37" s="56" t="s">
        <v>191</v>
      </c>
      <c r="D37" s="56" t="s">
        <v>283</v>
      </c>
      <c r="E37">
        <v>34103.527141212151</v>
      </c>
      <c r="F37">
        <v>70426936.935881853</v>
      </c>
      <c r="G37">
        <v>70.426936935881855</v>
      </c>
    </row>
    <row r="38" spans="1:7" x14ac:dyDescent="0.3">
      <c r="A38">
        <v>37</v>
      </c>
      <c r="B38">
        <v>22</v>
      </c>
      <c r="C38" s="56" t="s">
        <v>462</v>
      </c>
      <c r="D38" s="56" t="s">
        <v>4</v>
      </c>
      <c r="E38">
        <v>300311.96282146679</v>
      </c>
      <c r="F38">
        <v>1753513893.4275985</v>
      </c>
      <c r="G38">
        <v>1753.5138934275985</v>
      </c>
    </row>
    <row r="39" spans="1:7" x14ac:dyDescent="0.3">
      <c r="A39">
        <v>38</v>
      </c>
      <c r="B39">
        <v>28</v>
      </c>
      <c r="C39" s="56" t="s">
        <v>284</v>
      </c>
      <c r="D39" s="56" t="s">
        <v>285</v>
      </c>
      <c r="E39">
        <v>222036.92728215043</v>
      </c>
      <c r="F39">
        <v>1753074261.5438943</v>
      </c>
      <c r="G39">
        <v>1753.0742615438942</v>
      </c>
    </row>
    <row r="40" spans="1:7" x14ac:dyDescent="0.3">
      <c r="A40">
        <v>39</v>
      </c>
      <c r="B40">
        <v>29</v>
      </c>
      <c r="C40" s="56" t="s">
        <v>463</v>
      </c>
      <c r="D40" s="56" t="s">
        <v>4</v>
      </c>
      <c r="E40">
        <v>298360.19697019475</v>
      </c>
      <c r="F40">
        <v>1684858658.1974754</v>
      </c>
      <c r="G40">
        <v>1684.8586581974755</v>
      </c>
    </row>
    <row r="41" spans="1:7" x14ac:dyDescent="0.3">
      <c r="A41">
        <v>40</v>
      </c>
      <c r="B41">
        <v>70</v>
      </c>
      <c r="C41" s="56" t="s">
        <v>454</v>
      </c>
      <c r="D41" s="56" t="s">
        <v>4</v>
      </c>
      <c r="E41">
        <v>195030.28517224389</v>
      </c>
      <c r="F41">
        <v>1800607311.3660331</v>
      </c>
      <c r="G41">
        <v>1800.6073113660332</v>
      </c>
    </row>
    <row r="42" spans="1:7" x14ac:dyDescent="0.3">
      <c r="A42">
        <v>41</v>
      </c>
      <c r="B42">
        <v>71</v>
      </c>
      <c r="C42" s="56" t="s">
        <v>455</v>
      </c>
      <c r="D42" s="56" t="s">
        <v>4</v>
      </c>
      <c r="E42">
        <v>175024.84456395375</v>
      </c>
      <c r="F42">
        <v>1854247447.6579249</v>
      </c>
      <c r="G42">
        <v>1854.2474476579248</v>
      </c>
    </row>
    <row r="43" spans="1:7" x14ac:dyDescent="0.3">
      <c r="A43">
        <v>42</v>
      </c>
      <c r="B43">
        <v>72</v>
      </c>
      <c r="C43" s="56" t="s">
        <v>456</v>
      </c>
      <c r="D43" s="56" t="s">
        <v>4</v>
      </c>
      <c r="E43">
        <v>175024.19304944246</v>
      </c>
      <c r="F43">
        <v>1875518379.4727907</v>
      </c>
      <c r="G43">
        <v>1875.5183794727907</v>
      </c>
    </row>
    <row r="44" spans="1:7" x14ac:dyDescent="0.3">
      <c r="A44">
        <v>43</v>
      </c>
      <c r="B44">
        <v>73</v>
      </c>
      <c r="C44" s="56" t="s">
        <v>457</v>
      </c>
      <c r="D44" s="56" t="s">
        <v>4</v>
      </c>
      <c r="E44">
        <v>187695.12174028173</v>
      </c>
      <c r="F44">
        <v>1979636617.0996315</v>
      </c>
      <c r="G44">
        <v>1979.6366170996316</v>
      </c>
    </row>
    <row r="45" spans="1:7" x14ac:dyDescent="0.3">
      <c r="A45">
        <v>44</v>
      </c>
      <c r="B45">
        <v>74</v>
      </c>
      <c r="C45" s="56" t="s">
        <v>402</v>
      </c>
      <c r="D45" s="56" t="s">
        <v>413</v>
      </c>
      <c r="E45">
        <v>220263.67852206848</v>
      </c>
      <c r="F45">
        <v>1754139080.4580359</v>
      </c>
      <c r="G45">
        <v>1754.139080458036</v>
      </c>
    </row>
    <row r="46" spans="1:7" x14ac:dyDescent="0.3">
      <c r="A46">
        <v>45</v>
      </c>
      <c r="B46">
        <v>75</v>
      </c>
      <c r="C46" s="56" t="s">
        <v>403</v>
      </c>
      <c r="D46" s="56" t="s">
        <v>413</v>
      </c>
      <c r="E46">
        <v>195209.72715461938</v>
      </c>
      <c r="F46">
        <v>1954244249.959152</v>
      </c>
      <c r="G46">
        <v>1954.2442499591521</v>
      </c>
    </row>
    <row r="47" spans="1:7" x14ac:dyDescent="0.3">
      <c r="A47">
        <v>46</v>
      </c>
      <c r="B47">
        <v>76</v>
      </c>
      <c r="C47" s="56" t="s">
        <v>585</v>
      </c>
      <c r="D47" s="56" t="s">
        <v>4</v>
      </c>
      <c r="E47">
        <v>215256.87513903319</v>
      </c>
      <c r="F47">
        <v>1954511798.3188598</v>
      </c>
      <c r="G47">
        <v>1954.5117983188597</v>
      </c>
    </row>
    <row r="48" spans="1:7" x14ac:dyDescent="0.3">
      <c r="A48">
        <v>47</v>
      </c>
      <c r="B48">
        <v>77</v>
      </c>
      <c r="C48" s="56" t="s">
        <v>406</v>
      </c>
      <c r="D48" s="56" t="s">
        <v>4</v>
      </c>
      <c r="E48">
        <v>181826.48776372048</v>
      </c>
      <c r="F48">
        <v>1992353783.3454578</v>
      </c>
      <c r="G48">
        <v>1992.3537833454577</v>
      </c>
    </row>
    <row r="49" spans="1:7" x14ac:dyDescent="0.3">
      <c r="A49">
        <v>48</v>
      </c>
      <c r="B49">
        <v>78</v>
      </c>
      <c r="C49" s="56" t="s">
        <v>407</v>
      </c>
      <c r="D49" s="56" t="s">
        <v>4</v>
      </c>
      <c r="E49">
        <v>154874.71248778547</v>
      </c>
      <c r="F49">
        <v>1452834818.3052483</v>
      </c>
      <c r="G49">
        <v>1452.8348183052483</v>
      </c>
    </row>
    <row r="50" spans="1:7" x14ac:dyDescent="0.3">
      <c r="A50">
        <v>49</v>
      </c>
      <c r="B50">
        <v>79</v>
      </c>
      <c r="C50" s="56" t="s">
        <v>404</v>
      </c>
      <c r="D50" s="56" t="s">
        <v>414</v>
      </c>
      <c r="E50">
        <v>165296.4792727709</v>
      </c>
      <c r="F50">
        <v>1580664991.0358205</v>
      </c>
      <c r="G50">
        <v>1580.6649910358205</v>
      </c>
    </row>
    <row r="51" spans="1:7" x14ac:dyDescent="0.3">
      <c r="A51">
        <v>50</v>
      </c>
      <c r="B51">
        <v>80</v>
      </c>
      <c r="C51" s="56" t="s">
        <v>390</v>
      </c>
      <c r="D51" s="56" t="s">
        <v>4</v>
      </c>
      <c r="E51">
        <v>185393.01941224711</v>
      </c>
      <c r="F51">
        <v>1556578973.0954435</v>
      </c>
      <c r="G51">
        <v>1556.5789730954434</v>
      </c>
    </row>
    <row r="52" spans="1:7" x14ac:dyDescent="0.3">
      <c r="A52">
        <v>51</v>
      </c>
      <c r="B52">
        <v>81</v>
      </c>
      <c r="C52" s="56" t="s">
        <v>391</v>
      </c>
      <c r="D52" s="56" t="s">
        <v>4</v>
      </c>
      <c r="E52">
        <v>165336.14568453329</v>
      </c>
      <c r="F52">
        <v>1305285402.4950809</v>
      </c>
      <c r="G52">
        <v>1305.2854024950809</v>
      </c>
    </row>
    <row r="53" spans="1:7" x14ac:dyDescent="0.3">
      <c r="A53">
        <v>52</v>
      </c>
      <c r="B53">
        <v>82</v>
      </c>
      <c r="C53" s="56" t="s">
        <v>392</v>
      </c>
      <c r="D53" s="56" t="s">
        <v>4</v>
      </c>
      <c r="E53">
        <v>162589.61341606858</v>
      </c>
      <c r="F53">
        <v>1563985072.4119735</v>
      </c>
      <c r="G53">
        <v>1563.9850724119735</v>
      </c>
    </row>
    <row r="54" spans="1:7" x14ac:dyDescent="0.3">
      <c r="A54">
        <v>53</v>
      </c>
      <c r="B54">
        <v>83</v>
      </c>
      <c r="C54" s="56" t="s">
        <v>405</v>
      </c>
      <c r="D54" s="56" t="s">
        <v>414</v>
      </c>
      <c r="E54">
        <v>165376.65627325332</v>
      </c>
      <c r="F54">
        <v>1469276798.3058722</v>
      </c>
      <c r="G54">
        <v>1469.2767983058723</v>
      </c>
    </row>
    <row r="55" spans="1:7" x14ac:dyDescent="0.3">
      <c r="A55">
        <v>54</v>
      </c>
      <c r="B55">
        <v>84</v>
      </c>
      <c r="C55" s="56" t="s">
        <v>398</v>
      </c>
      <c r="D55" s="56" t="s">
        <v>4</v>
      </c>
      <c r="E55">
        <v>183534.846049491</v>
      </c>
      <c r="F55">
        <v>1701227273.2091205</v>
      </c>
      <c r="G55">
        <v>1701.2272732091205</v>
      </c>
    </row>
    <row r="56" spans="1:7" x14ac:dyDescent="0.3">
      <c r="A56">
        <v>55</v>
      </c>
      <c r="B56">
        <v>85</v>
      </c>
      <c r="C56" s="56" t="s">
        <v>399</v>
      </c>
      <c r="D56" s="56" t="s">
        <v>4</v>
      </c>
      <c r="E56">
        <v>155432.55436091794</v>
      </c>
      <c r="F56">
        <v>1310014010.3503466</v>
      </c>
      <c r="G56">
        <v>1310.0140103503466</v>
      </c>
    </row>
    <row r="57" spans="1:7" x14ac:dyDescent="0.3">
      <c r="A57">
        <v>56</v>
      </c>
      <c r="B57">
        <v>86</v>
      </c>
      <c r="C57" s="56" t="s">
        <v>400</v>
      </c>
      <c r="D57" s="56" t="s">
        <v>4</v>
      </c>
      <c r="E57">
        <v>188456.84816040358</v>
      </c>
      <c r="F57">
        <v>1605855120.3697646</v>
      </c>
      <c r="G57">
        <v>1605.8551203697646</v>
      </c>
    </row>
    <row r="58" spans="1:7" x14ac:dyDescent="0.3">
      <c r="A58">
        <v>57</v>
      </c>
      <c r="B58">
        <v>87</v>
      </c>
      <c r="C58" s="56" t="s">
        <v>401</v>
      </c>
      <c r="D58" s="56" t="s">
        <v>4</v>
      </c>
      <c r="E58">
        <v>231069.77913849137</v>
      </c>
      <c r="F58">
        <v>1534541351.1707211</v>
      </c>
      <c r="G58">
        <v>1534.5413511707211</v>
      </c>
    </row>
    <row r="59" spans="1:7" x14ac:dyDescent="0.3">
      <c r="A59">
        <v>60</v>
      </c>
      <c r="B59">
        <v>101</v>
      </c>
      <c r="C59" s="56" t="s">
        <v>620</v>
      </c>
      <c r="D59" s="56" t="s">
        <v>621</v>
      </c>
      <c r="E59">
        <v>113697.74659394985</v>
      </c>
      <c r="F59">
        <v>253338805.89569944</v>
      </c>
      <c r="G59">
        <v>253.33880589569944</v>
      </c>
    </row>
    <row r="60" spans="1:7" x14ac:dyDescent="0.3">
      <c r="A60">
        <v>61</v>
      </c>
      <c r="B60">
        <v>102</v>
      </c>
      <c r="C60" s="56" t="s">
        <v>622</v>
      </c>
      <c r="D60" s="56" t="s">
        <v>623</v>
      </c>
      <c r="E60">
        <v>571402.02703050256</v>
      </c>
      <c r="F60">
        <v>8718258814.5484753</v>
      </c>
      <c r="G60">
        <v>8718.2588145484751</v>
      </c>
    </row>
    <row r="61" spans="1:7" x14ac:dyDescent="0.3">
      <c r="A61">
        <v>62</v>
      </c>
      <c r="B61">
        <v>103</v>
      </c>
      <c r="C61" s="56" t="s">
        <v>624</v>
      </c>
      <c r="D61" s="56" t="s">
        <v>623</v>
      </c>
      <c r="E61">
        <v>553741.8719901148</v>
      </c>
      <c r="F61">
        <v>4758849655.6789618</v>
      </c>
      <c r="G61">
        <v>4758.8496556789614</v>
      </c>
    </row>
    <row r="62" spans="1:7" x14ac:dyDescent="0.3">
      <c r="A62">
        <v>63</v>
      </c>
      <c r="B62">
        <v>104</v>
      </c>
      <c r="C62" s="56" t="s">
        <v>625</v>
      </c>
      <c r="D62" s="56" t="s">
        <v>623</v>
      </c>
      <c r="E62">
        <v>76062.991286021876</v>
      </c>
      <c r="F62">
        <v>267949835.99065197</v>
      </c>
      <c r="G62">
        <v>267.94983599065199</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
  <sheetViews>
    <sheetView workbookViewId="0"/>
  </sheetViews>
  <sheetFormatPr defaultRowHeight="14.4" x14ac:dyDescent="0.3"/>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J58"/>
  <sheetViews>
    <sheetView topLeftCell="A25" workbookViewId="0">
      <selection activeCell="H41" sqref="H41:H58"/>
    </sheetView>
  </sheetViews>
  <sheetFormatPr defaultRowHeight="14.4" x14ac:dyDescent="0.3"/>
  <cols>
    <col min="1" max="1" width="5.88671875" bestFit="1" customWidth="1"/>
    <col min="2" max="2" width="28" bestFit="1" customWidth="1"/>
    <col min="3" max="3" width="30.77734375" bestFit="1" customWidth="1"/>
    <col min="4" max="4" width="11.109375" bestFit="1" customWidth="1"/>
    <col min="5" max="5" width="10.44140625" bestFit="1" customWidth="1"/>
    <col min="6" max="6" width="13.44140625" bestFit="1" customWidth="1"/>
    <col min="7" max="7" width="13.33203125" bestFit="1" customWidth="1"/>
    <col min="8" max="8" width="12" bestFit="1" customWidth="1"/>
    <col min="9" max="9" width="12.77734375" bestFit="1" customWidth="1"/>
    <col min="10" max="10" width="13.88671875" bestFit="1" customWidth="1"/>
  </cols>
  <sheetData>
    <row r="1" spans="1:10" x14ac:dyDescent="0.3">
      <c r="A1" t="s">
        <v>467</v>
      </c>
      <c r="B1" t="s">
        <v>468</v>
      </c>
      <c r="C1" t="s">
        <v>469</v>
      </c>
      <c r="D1" t="s">
        <v>470</v>
      </c>
      <c r="E1" t="s">
        <v>471</v>
      </c>
      <c r="F1" t="s">
        <v>472</v>
      </c>
      <c r="G1" t="s">
        <v>473</v>
      </c>
      <c r="H1" t="s">
        <v>474</v>
      </c>
      <c r="I1" t="s">
        <v>475</v>
      </c>
      <c r="J1" t="s">
        <v>476</v>
      </c>
    </row>
    <row r="2" spans="1:10" x14ac:dyDescent="0.3">
      <c r="A2">
        <v>0</v>
      </c>
      <c r="B2" s="56" t="s">
        <v>477</v>
      </c>
      <c r="C2" s="56" t="s">
        <v>478</v>
      </c>
      <c r="D2">
        <v>7</v>
      </c>
      <c r="E2" s="56" t="s">
        <v>479</v>
      </c>
      <c r="F2">
        <v>212932.07624900001</v>
      </c>
      <c r="G2">
        <v>1992817336.1800001</v>
      </c>
      <c r="H2">
        <v>1992.81733618</v>
      </c>
      <c r="I2">
        <v>13538251</v>
      </c>
      <c r="J2">
        <v>6793.5232969999997</v>
      </c>
    </row>
    <row r="3" spans="1:10" x14ac:dyDescent="0.3">
      <c r="A3">
        <v>20</v>
      </c>
      <c r="B3" s="56" t="s">
        <v>518</v>
      </c>
      <c r="C3" s="56" t="s">
        <v>519</v>
      </c>
      <c r="D3">
        <v>10</v>
      </c>
      <c r="E3" s="56" t="s">
        <v>520</v>
      </c>
      <c r="F3">
        <v>300233.12321599998</v>
      </c>
      <c r="G3">
        <v>1988510502.3399999</v>
      </c>
      <c r="H3">
        <v>1988.5105023399999</v>
      </c>
      <c r="I3">
        <v>4123349</v>
      </c>
      <c r="J3">
        <v>2073.5867349700002</v>
      </c>
    </row>
    <row r="4" spans="1:10" x14ac:dyDescent="0.3">
      <c r="A4">
        <v>1</v>
      </c>
      <c r="B4" s="56" t="s">
        <v>480</v>
      </c>
      <c r="C4" s="56" t="s">
        <v>478</v>
      </c>
      <c r="D4">
        <v>11</v>
      </c>
      <c r="E4" s="56" t="s">
        <v>481</v>
      </c>
      <c r="F4">
        <v>285796.93396499997</v>
      </c>
      <c r="G4">
        <v>2006766988.48</v>
      </c>
      <c r="H4">
        <v>2006.76698848</v>
      </c>
      <c r="I4">
        <v>0</v>
      </c>
      <c r="J4">
        <v>0</v>
      </c>
    </row>
    <row r="5" spans="1:10" x14ac:dyDescent="0.3">
      <c r="A5">
        <v>2</v>
      </c>
      <c r="B5" s="56" t="s">
        <v>482</v>
      </c>
      <c r="C5" s="56" t="s">
        <v>478</v>
      </c>
      <c r="D5">
        <v>12</v>
      </c>
      <c r="E5" s="56" t="s">
        <v>483</v>
      </c>
      <c r="F5">
        <v>183448.089122</v>
      </c>
      <c r="G5">
        <v>1811514774.8099999</v>
      </c>
      <c r="H5">
        <v>1811.5147748100001</v>
      </c>
      <c r="I5">
        <v>13018953</v>
      </c>
      <c r="J5">
        <v>7186.7771552499999</v>
      </c>
    </row>
    <row r="6" spans="1:10" x14ac:dyDescent="0.3">
      <c r="A6">
        <v>21</v>
      </c>
      <c r="B6" s="56" t="s">
        <v>521</v>
      </c>
      <c r="C6" s="56" t="s">
        <v>522</v>
      </c>
      <c r="D6">
        <v>14</v>
      </c>
      <c r="E6" s="56" t="s">
        <v>523</v>
      </c>
      <c r="F6">
        <v>392474.10304900003</v>
      </c>
      <c r="G6">
        <v>2010798638.0999999</v>
      </c>
      <c r="H6">
        <v>2010.7986381000001</v>
      </c>
      <c r="I6">
        <v>1328551</v>
      </c>
      <c r="J6">
        <v>660.70812602900003</v>
      </c>
    </row>
    <row r="7" spans="1:10" x14ac:dyDescent="0.3">
      <c r="A7">
        <v>3</v>
      </c>
      <c r="B7" s="56" t="s">
        <v>484</v>
      </c>
      <c r="C7" s="56" t="s">
        <v>478</v>
      </c>
      <c r="D7">
        <v>15</v>
      </c>
      <c r="E7" s="56" t="s">
        <v>485</v>
      </c>
      <c r="F7">
        <v>186839.60505899999</v>
      </c>
      <c r="G7">
        <v>1510735477.46</v>
      </c>
      <c r="H7">
        <v>1510.7354774600001</v>
      </c>
      <c r="I7">
        <v>10888225</v>
      </c>
      <c r="J7">
        <v>7207.2345969600001</v>
      </c>
    </row>
    <row r="8" spans="1:10" x14ac:dyDescent="0.3">
      <c r="A8">
        <v>22</v>
      </c>
      <c r="B8" s="56" t="s">
        <v>524</v>
      </c>
      <c r="C8" s="56" t="s">
        <v>525</v>
      </c>
      <c r="D8">
        <v>16</v>
      </c>
      <c r="E8" s="56" t="s">
        <v>526</v>
      </c>
      <c r="F8">
        <v>212667.16017799999</v>
      </c>
      <c r="G8">
        <v>1326466084.74</v>
      </c>
      <c r="H8">
        <v>1326.46608474</v>
      </c>
      <c r="I8">
        <v>8924103</v>
      </c>
      <c r="J8">
        <v>6727.7279854099997</v>
      </c>
    </row>
    <row r="9" spans="1:10" x14ac:dyDescent="0.3">
      <c r="A9">
        <v>23</v>
      </c>
      <c r="B9" s="56" t="s">
        <v>527</v>
      </c>
      <c r="C9" s="56" t="s">
        <v>522</v>
      </c>
      <c r="D9">
        <v>17</v>
      </c>
      <c r="E9" s="56" t="s">
        <v>528</v>
      </c>
      <c r="F9">
        <v>340699.82356300001</v>
      </c>
      <c r="G9">
        <v>1861832784.27</v>
      </c>
      <c r="H9">
        <v>1861.83278427</v>
      </c>
      <c r="I9">
        <v>2546449</v>
      </c>
      <c r="J9">
        <v>1367.7109037499999</v>
      </c>
    </row>
    <row r="10" spans="1:10" x14ac:dyDescent="0.3">
      <c r="A10">
        <v>4</v>
      </c>
      <c r="B10" s="56" t="s">
        <v>486</v>
      </c>
      <c r="C10" s="56" t="s">
        <v>478</v>
      </c>
      <c r="D10">
        <v>18</v>
      </c>
      <c r="E10" s="56" t="s">
        <v>487</v>
      </c>
      <c r="F10">
        <v>219202.85744600001</v>
      </c>
      <c r="G10">
        <v>1141374855.1600001</v>
      </c>
      <c r="H10">
        <v>1141.3748551599999</v>
      </c>
      <c r="I10">
        <v>5534891</v>
      </c>
      <c r="J10">
        <v>4849.31920042</v>
      </c>
    </row>
    <row r="11" spans="1:10" x14ac:dyDescent="0.3">
      <c r="A11">
        <v>5</v>
      </c>
      <c r="B11" s="56" t="s">
        <v>466</v>
      </c>
      <c r="C11" s="56" t="s">
        <v>488</v>
      </c>
      <c r="D11">
        <v>20</v>
      </c>
      <c r="E11" s="56" t="s">
        <v>489</v>
      </c>
      <c r="F11">
        <v>165452.11002399999</v>
      </c>
      <c r="G11">
        <v>1090608927.45</v>
      </c>
      <c r="H11">
        <v>1090.60892745</v>
      </c>
      <c r="I11">
        <v>0</v>
      </c>
      <c r="J11">
        <v>0</v>
      </c>
    </row>
    <row r="12" spans="1:10" x14ac:dyDescent="0.3">
      <c r="A12">
        <v>6</v>
      </c>
      <c r="B12" s="56" t="s">
        <v>490</v>
      </c>
      <c r="C12" s="56" t="s">
        <v>478</v>
      </c>
      <c r="D12">
        <v>21</v>
      </c>
      <c r="E12" s="56" t="s">
        <v>491</v>
      </c>
      <c r="F12">
        <v>210282.66435400001</v>
      </c>
      <c r="G12">
        <v>1604235427.1300001</v>
      </c>
      <c r="H12">
        <v>1604.2354271300001</v>
      </c>
      <c r="I12">
        <v>2282716</v>
      </c>
      <c r="J12">
        <v>1422.93080018</v>
      </c>
    </row>
    <row r="13" spans="1:10" x14ac:dyDescent="0.3">
      <c r="A13">
        <v>36</v>
      </c>
      <c r="B13" s="56" t="s">
        <v>560</v>
      </c>
      <c r="C13" s="56" t="s">
        <v>561</v>
      </c>
      <c r="D13">
        <v>22</v>
      </c>
      <c r="E13" s="56" t="s">
        <v>562</v>
      </c>
      <c r="F13">
        <v>300311.96282100002</v>
      </c>
      <c r="G13">
        <v>1753513893.4300001</v>
      </c>
      <c r="H13">
        <v>1753.5138934300001</v>
      </c>
      <c r="I13">
        <v>0</v>
      </c>
      <c r="J13">
        <v>0</v>
      </c>
    </row>
    <row r="14" spans="1:10" x14ac:dyDescent="0.3">
      <c r="A14">
        <v>37</v>
      </c>
      <c r="B14" s="56" t="s">
        <v>563</v>
      </c>
      <c r="C14" s="56" t="s">
        <v>478</v>
      </c>
      <c r="D14">
        <v>28</v>
      </c>
      <c r="E14" s="56" t="s">
        <v>564</v>
      </c>
      <c r="F14">
        <v>222036.92728199999</v>
      </c>
      <c r="G14">
        <v>1753074261.54</v>
      </c>
      <c r="H14">
        <v>1753.07426154</v>
      </c>
      <c r="I14">
        <v>0</v>
      </c>
      <c r="J14">
        <v>0</v>
      </c>
    </row>
    <row r="15" spans="1:10" x14ac:dyDescent="0.3">
      <c r="A15">
        <v>38</v>
      </c>
      <c r="B15" s="56" t="s">
        <v>565</v>
      </c>
      <c r="C15" s="56" t="s">
        <v>565</v>
      </c>
      <c r="D15">
        <v>29</v>
      </c>
      <c r="E15" s="56" t="s">
        <v>566</v>
      </c>
      <c r="F15">
        <v>298360.19696999999</v>
      </c>
      <c r="G15">
        <v>1684858658.2</v>
      </c>
      <c r="H15">
        <v>1684.8586582</v>
      </c>
      <c r="I15">
        <v>0</v>
      </c>
      <c r="J15">
        <v>0</v>
      </c>
    </row>
    <row r="16" spans="1:10" x14ac:dyDescent="0.3">
      <c r="A16">
        <v>7</v>
      </c>
      <c r="B16" s="56" t="s">
        <v>492</v>
      </c>
      <c r="C16" s="56" t="s">
        <v>478</v>
      </c>
      <c r="D16">
        <v>31</v>
      </c>
      <c r="E16" s="56" t="s">
        <v>493</v>
      </c>
      <c r="F16">
        <v>180697.50567099999</v>
      </c>
      <c r="G16">
        <v>2015529970.52</v>
      </c>
      <c r="H16">
        <v>2015.52997052</v>
      </c>
      <c r="I16">
        <v>2531614</v>
      </c>
      <c r="J16">
        <v>1256.0537610599999</v>
      </c>
    </row>
    <row r="17" spans="1:10" x14ac:dyDescent="0.3">
      <c r="A17">
        <v>8</v>
      </c>
      <c r="B17" s="56" t="s">
        <v>250</v>
      </c>
      <c r="C17" s="56" t="s">
        <v>478</v>
      </c>
      <c r="D17">
        <v>43</v>
      </c>
      <c r="E17" s="56" t="s">
        <v>494</v>
      </c>
      <c r="F17">
        <v>219607.011283</v>
      </c>
      <c r="G17">
        <v>1935287548.6300001</v>
      </c>
      <c r="H17">
        <v>1935.2875486299999</v>
      </c>
      <c r="I17">
        <v>0</v>
      </c>
      <c r="J17">
        <v>0</v>
      </c>
    </row>
    <row r="18" spans="1:10" x14ac:dyDescent="0.3">
      <c r="A18">
        <v>9</v>
      </c>
      <c r="B18" s="56" t="s">
        <v>495</v>
      </c>
      <c r="C18" s="56" t="s">
        <v>478</v>
      </c>
      <c r="D18">
        <v>44</v>
      </c>
      <c r="E18" s="56" t="s">
        <v>496</v>
      </c>
      <c r="F18">
        <v>35753.651141599999</v>
      </c>
      <c r="G18">
        <v>71380492.315799996</v>
      </c>
      <c r="H18">
        <v>71.380492315799998</v>
      </c>
      <c r="I18">
        <v>770261</v>
      </c>
      <c r="J18">
        <v>10790.917448300001</v>
      </c>
    </row>
    <row r="19" spans="1:10" x14ac:dyDescent="0.3">
      <c r="A19">
        <v>24</v>
      </c>
      <c r="B19" s="56" t="s">
        <v>529</v>
      </c>
      <c r="C19" s="56" t="s">
        <v>530</v>
      </c>
      <c r="D19">
        <v>45</v>
      </c>
      <c r="E19" s="56" t="s">
        <v>531</v>
      </c>
      <c r="F19">
        <v>62120.604850199998</v>
      </c>
      <c r="G19">
        <v>168665540.206</v>
      </c>
      <c r="H19">
        <v>168.665540206</v>
      </c>
      <c r="I19">
        <v>288756</v>
      </c>
      <c r="J19">
        <v>1712.00352868</v>
      </c>
    </row>
    <row r="20" spans="1:10" x14ac:dyDescent="0.3">
      <c r="A20">
        <v>25</v>
      </c>
      <c r="B20" s="56" t="s">
        <v>161</v>
      </c>
      <c r="C20" s="56" t="s">
        <v>532</v>
      </c>
      <c r="D20">
        <v>46</v>
      </c>
      <c r="E20" s="56" t="s">
        <v>533</v>
      </c>
      <c r="F20">
        <v>38455.968061300002</v>
      </c>
      <c r="G20">
        <v>61274212.482600003</v>
      </c>
      <c r="H20">
        <v>61.274212482599999</v>
      </c>
      <c r="I20">
        <v>3145898</v>
      </c>
      <c r="J20">
        <v>51341.304482599997</v>
      </c>
    </row>
    <row r="21" spans="1:10" x14ac:dyDescent="0.3">
      <c r="A21">
        <v>26</v>
      </c>
      <c r="B21" s="56" t="s">
        <v>162</v>
      </c>
      <c r="C21" s="56" t="s">
        <v>532</v>
      </c>
      <c r="D21">
        <v>47</v>
      </c>
      <c r="E21" s="56" t="s">
        <v>534</v>
      </c>
      <c r="F21">
        <v>125714.63510299999</v>
      </c>
      <c r="G21">
        <v>390641701.491</v>
      </c>
      <c r="H21">
        <v>390.64170149099999</v>
      </c>
      <c r="I21">
        <v>1482527</v>
      </c>
      <c r="J21">
        <v>3795.10685711</v>
      </c>
    </row>
    <row r="22" spans="1:10" x14ac:dyDescent="0.3">
      <c r="A22">
        <v>10</v>
      </c>
      <c r="B22" s="56" t="s">
        <v>497</v>
      </c>
      <c r="C22" s="56" t="s">
        <v>478</v>
      </c>
      <c r="D22">
        <v>48</v>
      </c>
      <c r="E22" s="56" t="s">
        <v>498</v>
      </c>
      <c r="F22">
        <v>78426.114665700006</v>
      </c>
      <c r="G22">
        <v>239428427.58399999</v>
      </c>
      <c r="H22">
        <v>239.42842758399999</v>
      </c>
      <c r="I22">
        <v>0</v>
      </c>
      <c r="J22">
        <v>0</v>
      </c>
    </row>
    <row r="23" spans="1:10" x14ac:dyDescent="0.3">
      <c r="A23">
        <v>27</v>
      </c>
      <c r="B23" s="56" t="s">
        <v>535</v>
      </c>
      <c r="C23" s="56" t="s">
        <v>536</v>
      </c>
      <c r="D23">
        <v>49</v>
      </c>
      <c r="E23" s="56" t="s">
        <v>537</v>
      </c>
      <c r="F23">
        <v>101331.45541</v>
      </c>
      <c r="G23">
        <v>638979656.87199998</v>
      </c>
      <c r="H23">
        <v>638.97965687199996</v>
      </c>
      <c r="I23">
        <v>983221</v>
      </c>
      <c r="J23">
        <v>1538.73599797</v>
      </c>
    </row>
    <row r="24" spans="1:10" x14ac:dyDescent="0.3">
      <c r="A24">
        <v>11</v>
      </c>
      <c r="B24" s="56" t="s">
        <v>499</v>
      </c>
      <c r="C24" s="56" t="s">
        <v>478</v>
      </c>
      <c r="D24">
        <v>50</v>
      </c>
      <c r="E24" s="56" t="s">
        <v>500</v>
      </c>
      <c r="F24">
        <v>76206.571554599999</v>
      </c>
      <c r="G24">
        <v>244528783.11199999</v>
      </c>
      <c r="H24">
        <v>244.52878311200001</v>
      </c>
      <c r="I24">
        <v>0</v>
      </c>
      <c r="J24">
        <v>0</v>
      </c>
    </row>
    <row r="25" spans="1:10" x14ac:dyDescent="0.3">
      <c r="A25">
        <v>12</v>
      </c>
      <c r="B25" s="56" t="s">
        <v>501</v>
      </c>
      <c r="C25" s="56" t="s">
        <v>478</v>
      </c>
      <c r="D25">
        <v>51</v>
      </c>
      <c r="E25" s="56" t="s">
        <v>502</v>
      </c>
      <c r="F25">
        <v>27720.5723306</v>
      </c>
      <c r="G25">
        <v>27039738.586100001</v>
      </c>
      <c r="H25">
        <v>27.0397385861</v>
      </c>
      <c r="I25">
        <v>0</v>
      </c>
      <c r="J25">
        <v>0</v>
      </c>
    </row>
    <row r="26" spans="1:10" x14ac:dyDescent="0.3">
      <c r="A26">
        <v>28</v>
      </c>
      <c r="B26" s="56" t="s">
        <v>538</v>
      </c>
      <c r="C26" s="56" t="s">
        <v>539</v>
      </c>
      <c r="D26">
        <v>52</v>
      </c>
      <c r="E26" s="56" t="s">
        <v>540</v>
      </c>
      <c r="F26">
        <v>45389.653861699997</v>
      </c>
      <c r="G26">
        <v>83249917.185399994</v>
      </c>
      <c r="H26">
        <v>83.249917185399994</v>
      </c>
      <c r="I26">
        <v>361293</v>
      </c>
      <c r="J26">
        <v>4339.8601730199998</v>
      </c>
    </row>
    <row r="27" spans="1:10" x14ac:dyDescent="0.3">
      <c r="A27">
        <v>29</v>
      </c>
      <c r="B27" s="56" t="s">
        <v>541</v>
      </c>
      <c r="C27" s="56" t="s">
        <v>542</v>
      </c>
      <c r="D27">
        <v>53</v>
      </c>
      <c r="E27" s="56" t="s">
        <v>543</v>
      </c>
      <c r="F27">
        <v>26032.558262499999</v>
      </c>
      <c r="G27">
        <v>34675839.734200001</v>
      </c>
      <c r="H27">
        <v>34.675839734199997</v>
      </c>
      <c r="I27">
        <v>2161458</v>
      </c>
      <c r="J27">
        <v>62333.2561394</v>
      </c>
    </row>
    <row r="28" spans="1:10" x14ac:dyDescent="0.3">
      <c r="A28">
        <v>30</v>
      </c>
      <c r="B28" s="56" t="s">
        <v>544</v>
      </c>
      <c r="C28" s="56" t="s">
        <v>545</v>
      </c>
      <c r="D28">
        <v>54</v>
      </c>
      <c r="E28" s="56" t="s">
        <v>546</v>
      </c>
      <c r="F28">
        <v>48103.919485600003</v>
      </c>
      <c r="G28">
        <v>136840950.965</v>
      </c>
      <c r="H28">
        <v>136.84095096499999</v>
      </c>
      <c r="I28">
        <v>902277</v>
      </c>
      <c r="J28">
        <v>6593.6183111600003</v>
      </c>
    </row>
    <row r="29" spans="1:10" x14ac:dyDescent="0.3">
      <c r="A29">
        <v>13</v>
      </c>
      <c r="B29" s="56" t="s">
        <v>503</v>
      </c>
      <c r="C29" s="56" t="s">
        <v>478</v>
      </c>
      <c r="D29">
        <v>55</v>
      </c>
      <c r="E29" s="56" t="s">
        <v>504</v>
      </c>
      <c r="F29">
        <v>56117.947135199996</v>
      </c>
      <c r="G29">
        <v>147619873.625</v>
      </c>
      <c r="H29">
        <v>147.619873625</v>
      </c>
      <c r="I29">
        <v>136428</v>
      </c>
      <c r="J29">
        <v>924.18450612300001</v>
      </c>
    </row>
    <row r="30" spans="1:10" x14ac:dyDescent="0.3">
      <c r="A30">
        <v>14</v>
      </c>
      <c r="B30" s="56" t="s">
        <v>505</v>
      </c>
      <c r="C30" s="56" t="s">
        <v>478</v>
      </c>
      <c r="D30">
        <v>56</v>
      </c>
      <c r="E30" s="56" t="s">
        <v>506</v>
      </c>
      <c r="F30">
        <v>191433.19620899999</v>
      </c>
      <c r="G30">
        <v>836704273.42400002</v>
      </c>
      <c r="H30">
        <v>836.70427342400001</v>
      </c>
      <c r="I30">
        <v>1770519</v>
      </c>
      <c r="J30">
        <v>2116.0630538599999</v>
      </c>
    </row>
    <row r="31" spans="1:10" x14ac:dyDescent="0.3">
      <c r="A31">
        <v>15</v>
      </c>
      <c r="B31" s="56" t="s">
        <v>507</v>
      </c>
      <c r="C31" s="56" t="s">
        <v>478</v>
      </c>
      <c r="D31">
        <v>57</v>
      </c>
      <c r="E31" s="56" t="s">
        <v>508</v>
      </c>
      <c r="F31">
        <v>206875.41446199999</v>
      </c>
      <c r="G31">
        <v>1550913787.51</v>
      </c>
      <c r="H31">
        <v>1550.91378751</v>
      </c>
      <c r="I31">
        <v>41175362</v>
      </c>
      <c r="J31">
        <v>26549.097913500002</v>
      </c>
    </row>
    <row r="32" spans="1:10" x14ac:dyDescent="0.3">
      <c r="A32">
        <v>16</v>
      </c>
      <c r="B32" s="56" t="s">
        <v>509</v>
      </c>
      <c r="C32" s="56" t="s">
        <v>478</v>
      </c>
      <c r="D32">
        <v>58</v>
      </c>
      <c r="E32" s="56" t="s">
        <v>510</v>
      </c>
      <c r="F32">
        <v>250185.25341400001</v>
      </c>
      <c r="G32">
        <v>1740327103.5799999</v>
      </c>
      <c r="H32">
        <v>1740.3271035800001</v>
      </c>
      <c r="I32">
        <v>9429650</v>
      </c>
      <c r="J32">
        <v>5418.32048734</v>
      </c>
    </row>
    <row r="33" spans="1:10" x14ac:dyDescent="0.3">
      <c r="A33">
        <v>17</v>
      </c>
      <c r="B33" s="56" t="s">
        <v>511</v>
      </c>
      <c r="C33" s="56" t="s">
        <v>478</v>
      </c>
      <c r="D33">
        <v>59</v>
      </c>
      <c r="E33" s="56" t="s">
        <v>512</v>
      </c>
      <c r="F33">
        <v>360899.79775600001</v>
      </c>
      <c r="G33">
        <v>1384528016.3099999</v>
      </c>
      <c r="H33">
        <v>1384.5280163100001</v>
      </c>
      <c r="I33">
        <v>234943</v>
      </c>
      <c r="J33">
        <v>169.69176299200001</v>
      </c>
    </row>
    <row r="34" spans="1:10" x14ac:dyDescent="0.3">
      <c r="A34">
        <v>18</v>
      </c>
      <c r="B34" s="56" t="s">
        <v>513</v>
      </c>
      <c r="C34" s="56" t="s">
        <v>514</v>
      </c>
      <c r="D34">
        <v>60</v>
      </c>
      <c r="E34" s="56" t="s">
        <v>515</v>
      </c>
      <c r="F34">
        <v>95973.8769092</v>
      </c>
      <c r="G34">
        <v>356985907.79100001</v>
      </c>
      <c r="H34">
        <v>356.98590779099999</v>
      </c>
      <c r="I34">
        <v>27029894</v>
      </c>
      <c r="J34">
        <v>75716.977645599996</v>
      </c>
    </row>
    <row r="35" spans="1:10" x14ac:dyDescent="0.3">
      <c r="A35">
        <v>19</v>
      </c>
      <c r="B35" s="56" t="s">
        <v>516</v>
      </c>
      <c r="C35" s="56" t="s">
        <v>478</v>
      </c>
      <c r="D35">
        <v>61</v>
      </c>
      <c r="E35" s="56" t="s">
        <v>517</v>
      </c>
      <c r="F35">
        <v>210262.159529</v>
      </c>
      <c r="G35">
        <v>786353916.03999996</v>
      </c>
      <c r="H35">
        <v>786.35391603999994</v>
      </c>
      <c r="I35">
        <v>25978398</v>
      </c>
      <c r="J35">
        <v>33036.521431499998</v>
      </c>
    </row>
    <row r="36" spans="1:10" x14ac:dyDescent="0.3">
      <c r="A36">
        <v>31</v>
      </c>
      <c r="B36" s="56" t="s">
        <v>547</v>
      </c>
      <c r="C36" s="56" t="s">
        <v>548</v>
      </c>
      <c r="D36">
        <v>62</v>
      </c>
      <c r="E36" s="56" t="s">
        <v>549</v>
      </c>
      <c r="F36">
        <v>155212.475588</v>
      </c>
      <c r="G36">
        <v>1052919613.45</v>
      </c>
      <c r="H36">
        <v>1052.91961345</v>
      </c>
      <c r="I36">
        <v>12077940</v>
      </c>
      <c r="J36">
        <v>11470.9041846</v>
      </c>
    </row>
    <row r="37" spans="1:10" x14ac:dyDescent="0.3">
      <c r="A37">
        <v>32</v>
      </c>
      <c r="B37" s="56" t="s">
        <v>550</v>
      </c>
      <c r="C37" s="56" t="s">
        <v>551</v>
      </c>
      <c r="D37">
        <v>64</v>
      </c>
      <c r="E37" s="56" t="s">
        <v>552</v>
      </c>
      <c r="F37">
        <v>65148.528258600003</v>
      </c>
      <c r="G37">
        <v>141143433.18200001</v>
      </c>
      <c r="H37">
        <v>141.143433182</v>
      </c>
      <c r="I37">
        <v>968457</v>
      </c>
      <c r="J37">
        <v>6861.5094458599997</v>
      </c>
    </row>
    <row r="38" spans="1:10" x14ac:dyDescent="0.3">
      <c r="A38">
        <v>33</v>
      </c>
      <c r="B38" s="56" t="s">
        <v>553</v>
      </c>
      <c r="C38" s="56" t="s">
        <v>551</v>
      </c>
      <c r="D38">
        <v>65</v>
      </c>
      <c r="E38" s="56" t="s">
        <v>554</v>
      </c>
      <c r="F38">
        <v>33073.639708100003</v>
      </c>
      <c r="G38">
        <v>68303823.373500004</v>
      </c>
      <c r="H38">
        <v>68.303823373499995</v>
      </c>
      <c r="I38">
        <v>1657363</v>
      </c>
      <c r="J38">
        <v>24264.571412599998</v>
      </c>
    </row>
    <row r="39" spans="1:10" x14ac:dyDescent="0.3">
      <c r="A39">
        <v>34</v>
      </c>
      <c r="B39" s="56" t="s">
        <v>555</v>
      </c>
      <c r="C39" s="56" t="s">
        <v>556</v>
      </c>
      <c r="D39">
        <v>66</v>
      </c>
      <c r="E39" s="56" t="s">
        <v>557</v>
      </c>
      <c r="F39">
        <v>70137.518010999993</v>
      </c>
      <c r="G39">
        <v>250983233.94100001</v>
      </c>
      <c r="H39">
        <v>250.98323394100001</v>
      </c>
      <c r="I39">
        <v>889913</v>
      </c>
      <c r="J39">
        <v>3545.70696228</v>
      </c>
    </row>
    <row r="40" spans="1:10" x14ac:dyDescent="0.3">
      <c r="A40">
        <v>35</v>
      </c>
      <c r="B40" s="56" t="s">
        <v>558</v>
      </c>
      <c r="C40" s="56" t="s">
        <v>525</v>
      </c>
      <c r="D40">
        <v>67</v>
      </c>
      <c r="E40" s="56" t="s">
        <v>559</v>
      </c>
      <c r="F40">
        <v>34103.5271412</v>
      </c>
      <c r="G40">
        <v>70426936.935900003</v>
      </c>
      <c r="H40">
        <v>70.426936935900002</v>
      </c>
      <c r="I40">
        <v>1444999</v>
      </c>
      <c r="J40">
        <v>20517.7033514</v>
      </c>
    </row>
    <row r="41" spans="1:10" x14ac:dyDescent="0.3">
      <c r="A41">
        <v>39</v>
      </c>
      <c r="B41" s="56" t="s">
        <v>560</v>
      </c>
      <c r="C41" s="56" t="s">
        <v>561</v>
      </c>
      <c r="D41">
        <v>70</v>
      </c>
      <c r="E41" s="56" t="s">
        <v>567</v>
      </c>
      <c r="F41">
        <v>195030.285172</v>
      </c>
      <c r="G41">
        <v>1800607311.3699999</v>
      </c>
      <c r="H41">
        <v>1800.6073113699999</v>
      </c>
      <c r="I41">
        <v>0</v>
      </c>
      <c r="J41">
        <v>0</v>
      </c>
    </row>
    <row r="42" spans="1:10" x14ac:dyDescent="0.3">
      <c r="A42">
        <v>40</v>
      </c>
      <c r="B42" s="56" t="s">
        <v>560</v>
      </c>
      <c r="C42" s="56" t="s">
        <v>561</v>
      </c>
      <c r="D42">
        <v>71</v>
      </c>
      <c r="E42" s="56" t="s">
        <v>568</v>
      </c>
      <c r="F42">
        <v>175024.844564</v>
      </c>
      <c r="G42">
        <v>1854247447.6600001</v>
      </c>
      <c r="H42">
        <v>1854.24744766</v>
      </c>
      <c r="I42">
        <v>0</v>
      </c>
      <c r="J42">
        <v>0</v>
      </c>
    </row>
    <row r="43" spans="1:10" x14ac:dyDescent="0.3">
      <c r="A43">
        <v>41</v>
      </c>
      <c r="B43" s="56" t="s">
        <v>560</v>
      </c>
      <c r="C43" s="56" t="s">
        <v>561</v>
      </c>
      <c r="D43">
        <v>72</v>
      </c>
      <c r="E43" s="56" t="s">
        <v>569</v>
      </c>
      <c r="F43">
        <v>175024.19304899999</v>
      </c>
      <c r="G43">
        <v>1875518379.47</v>
      </c>
      <c r="H43">
        <v>1875.5183794699999</v>
      </c>
      <c r="I43">
        <v>0</v>
      </c>
      <c r="J43">
        <v>0</v>
      </c>
    </row>
    <row r="44" spans="1:10" x14ac:dyDescent="0.3">
      <c r="A44">
        <v>42</v>
      </c>
      <c r="B44" s="56" t="s">
        <v>560</v>
      </c>
      <c r="C44" s="56" t="s">
        <v>561</v>
      </c>
      <c r="D44">
        <v>73</v>
      </c>
      <c r="E44" s="56" t="s">
        <v>570</v>
      </c>
      <c r="F44">
        <v>187695.12174</v>
      </c>
      <c r="G44">
        <v>1979636617.0999999</v>
      </c>
      <c r="H44">
        <v>1979.6366171</v>
      </c>
      <c r="I44">
        <v>0</v>
      </c>
      <c r="J44">
        <v>0</v>
      </c>
    </row>
    <row r="45" spans="1:10" x14ac:dyDescent="0.3">
      <c r="A45">
        <v>43</v>
      </c>
      <c r="B45" s="56" t="s">
        <v>561</v>
      </c>
      <c r="C45" s="56" t="s">
        <v>561</v>
      </c>
      <c r="D45">
        <v>74</v>
      </c>
      <c r="E45" s="56" t="s">
        <v>571</v>
      </c>
      <c r="F45">
        <v>220263.678522</v>
      </c>
      <c r="G45">
        <v>1754139080.46</v>
      </c>
      <c r="H45">
        <v>1754.1390804600001</v>
      </c>
      <c r="I45">
        <v>0</v>
      </c>
      <c r="J45">
        <v>0</v>
      </c>
    </row>
    <row r="46" spans="1:10" x14ac:dyDescent="0.3">
      <c r="A46">
        <v>44</v>
      </c>
      <c r="B46" s="56" t="s">
        <v>561</v>
      </c>
      <c r="C46" s="56" t="s">
        <v>561</v>
      </c>
      <c r="D46">
        <v>75</v>
      </c>
      <c r="E46" s="56" t="s">
        <v>572</v>
      </c>
      <c r="F46">
        <v>195209.727155</v>
      </c>
      <c r="G46">
        <v>1954244249.96</v>
      </c>
      <c r="H46">
        <v>1954.2442499599999</v>
      </c>
      <c r="I46">
        <v>0</v>
      </c>
      <c r="J46">
        <v>0</v>
      </c>
    </row>
    <row r="47" spans="1:10" x14ac:dyDescent="0.3">
      <c r="A47">
        <v>45</v>
      </c>
      <c r="B47" s="56" t="s">
        <v>561</v>
      </c>
      <c r="C47" s="56" t="s">
        <v>561</v>
      </c>
      <c r="D47">
        <v>76</v>
      </c>
      <c r="E47" s="56" t="s">
        <v>573</v>
      </c>
      <c r="F47">
        <v>215256.87513900001</v>
      </c>
      <c r="G47">
        <v>1954511798.3199999</v>
      </c>
      <c r="H47">
        <v>1954.51179832</v>
      </c>
      <c r="I47">
        <v>0</v>
      </c>
      <c r="J47">
        <v>0</v>
      </c>
    </row>
    <row r="48" spans="1:10" x14ac:dyDescent="0.3">
      <c r="A48">
        <v>46</v>
      </c>
      <c r="B48" s="56" t="s">
        <v>560</v>
      </c>
      <c r="C48" s="56" t="s">
        <v>561</v>
      </c>
      <c r="D48">
        <v>77</v>
      </c>
      <c r="E48" s="56" t="s">
        <v>574</v>
      </c>
      <c r="F48">
        <v>181826.48776399999</v>
      </c>
      <c r="G48">
        <v>1992353783.3499999</v>
      </c>
      <c r="H48">
        <v>1992.35378335</v>
      </c>
      <c r="I48">
        <v>0</v>
      </c>
      <c r="J48">
        <v>0</v>
      </c>
    </row>
    <row r="49" spans="1:10" x14ac:dyDescent="0.3">
      <c r="A49">
        <v>47</v>
      </c>
      <c r="B49" s="56" t="s">
        <v>563</v>
      </c>
      <c r="C49" s="56" t="s">
        <v>561</v>
      </c>
      <c r="D49">
        <v>78</v>
      </c>
      <c r="E49" s="56" t="s">
        <v>575</v>
      </c>
      <c r="F49">
        <v>154874.71248799999</v>
      </c>
      <c r="G49">
        <v>1452834818.3099999</v>
      </c>
      <c r="H49">
        <v>1452.8348183099999</v>
      </c>
      <c r="I49">
        <v>0</v>
      </c>
      <c r="J49">
        <v>0</v>
      </c>
    </row>
    <row r="50" spans="1:10" x14ac:dyDescent="0.3">
      <c r="A50">
        <v>48</v>
      </c>
      <c r="B50" s="56" t="s">
        <v>565</v>
      </c>
      <c r="C50" s="56" t="s">
        <v>565</v>
      </c>
      <c r="D50">
        <v>79</v>
      </c>
      <c r="E50" s="56" t="s">
        <v>576</v>
      </c>
      <c r="F50">
        <v>165296.479273</v>
      </c>
      <c r="G50">
        <v>1580664991.04</v>
      </c>
      <c r="H50">
        <v>1580.6649910399999</v>
      </c>
      <c r="I50">
        <v>0</v>
      </c>
      <c r="J50">
        <v>0</v>
      </c>
    </row>
    <row r="51" spans="1:10" x14ac:dyDescent="0.3">
      <c r="A51">
        <v>49</v>
      </c>
      <c r="B51" s="56" t="s">
        <v>560</v>
      </c>
      <c r="C51" s="56" t="s">
        <v>561</v>
      </c>
      <c r="D51">
        <v>80</v>
      </c>
      <c r="E51" s="56" t="s">
        <v>577</v>
      </c>
      <c r="F51">
        <v>185393.01941199999</v>
      </c>
      <c r="G51">
        <v>1556578973.0999999</v>
      </c>
      <c r="H51">
        <v>1556.5789731</v>
      </c>
      <c r="I51">
        <v>0</v>
      </c>
      <c r="J51">
        <v>0</v>
      </c>
    </row>
    <row r="52" spans="1:10" x14ac:dyDescent="0.3">
      <c r="A52">
        <v>50</v>
      </c>
      <c r="B52" s="56" t="s">
        <v>560</v>
      </c>
      <c r="C52" s="56" t="s">
        <v>561</v>
      </c>
      <c r="D52">
        <v>81</v>
      </c>
      <c r="E52" s="56" t="s">
        <v>578</v>
      </c>
      <c r="F52">
        <v>165336.145685</v>
      </c>
      <c r="G52">
        <v>1305285402.5</v>
      </c>
      <c r="H52">
        <v>1305.2854024999999</v>
      </c>
      <c r="I52">
        <v>0</v>
      </c>
      <c r="J52">
        <v>0</v>
      </c>
    </row>
    <row r="53" spans="1:10" x14ac:dyDescent="0.3">
      <c r="A53">
        <v>51</v>
      </c>
      <c r="B53" s="56" t="s">
        <v>561</v>
      </c>
      <c r="C53" s="56" t="s">
        <v>561</v>
      </c>
      <c r="D53">
        <v>82</v>
      </c>
      <c r="E53" s="56" t="s">
        <v>579</v>
      </c>
      <c r="F53">
        <v>162589.61341600001</v>
      </c>
      <c r="G53">
        <v>1563985072.4100001</v>
      </c>
      <c r="H53">
        <v>1563.9850724099999</v>
      </c>
      <c r="I53">
        <v>0</v>
      </c>
      <c r="J53">
        <v>0</v>
      </c>
    </row>
    <row r="54" spans="1:10" x14ac:dyDescent="0.3">
      <c r="A54">
        <v>52</v>
      </c>
      <c r="B54" s="56" t="s">
        <v>565</v>
      </c>
      <c r="C54" s="56" t="s">
        <v>565</v>
      </c>
      <c r="D54">
        <v>83</v>
      </c>
      <c r="E54" s="56" t="s">
        <v>580</v>
      </c>
      <c r="F54">
        <v>165376.656273</v>
      </c>
      <c r="G54">
        <v>1469276798.3099999</v>
      </c>
      <c r="H54">
        <v>1469.27679831</v>
      </c>
      <c r="I54">
        <v>0</v>
      </c>
      <c r="J54">
        <v>0</v>
      </c>
    </row>
    <row r="55" spans="1:10" x14ac:dyDescent="0.3">
      <c r="A55">
        <v>53</v>
      </c>
      <c r="B55" s="56" t="s">
        <v>560</v>
      </c>
      <c r="C55" s="56" t="s">
        <v>561</v>
      </c>
      <c r="D55">
        <v>84</v>
      </c>
      <c r="E55" s="56" t="s">
        <v>581</v>
      </c>
      <c r="F55">
        <v>183534.84604900001</v>
      </c>
      <c r="G55">
        <v>1701227273.21</v>
      </c>
      <c r="H55">
        <v>1701.22727321</v>
      </c>
      <c r="I55">
        <v>0</v>
      </c>
      <c r="J55">
        <v>0</v>
      </c>
    </row>
    <row r="56" spans="1:10" x14ac:dyDescent="0.3">
      <c r="A56">
        <v>54</v>
      </c>
      <c r="B56" s="56" t="s">
        <v>561</v>
      </c>
      <c r="C56" s="56" t="s">
        <v>561</v>
      </c>
      <c r="D56">
        <v>85</v>
      </c>
      <c r="E56" s="56" t="s">
        <v>582</v>
      </c>
      <c r="F56">
        <v>155432.55436099999</v>
      </c>
      <c r="G56">
        <v>1310014010.3499999</v>
      </c>
      <c r="H56">
        <v>1310.01401035</v>
      </c>
      <c r="I56">
        <v>0</v>
      </c>
      <c r="J56">
        <v>0</v>
      </c>
    </row>
    <row r="57" spans="1:10" x14ac:dyDescent="0.3">
      <c r="A57">
        <v>55</v>
      </c>
      <c r="B57" s="56" t="s">
        <v>478</v>
      </c>
      <c r="C57" s="56" t="s">
        <v>561</v>
      </c>
      <c r="D57">
        <v>86</v>
      </c>
      <c r="E57" s="56" t="s">
        <v>583</v>
      </c>
      <c r="F57">
        <v>188456.84815999999</v>
      </c>
      <c r="G57">
        <v>1605855120.3699999</v>
      </c>
      <c r="H57">
        <v>1605.8551203699999</v>
      </c>
      <c r="I57">
        <v>0</v>
      </c>
      <c r="J57">
        <v>0</v>
      </c>
    </row>
    <row r="58" spans="1:10" x14ac:dyDescent="0.3">
      <c r="A58">
        <v>56</v>
      </c>
      <c r="B58" s="56" t="s">
        <v>560</v>
      </c>
      <c r="C58" s="56" t="s">
        <v>561</v>
      </c>
      <c r="D58">
        <v>87</v>
      </c>
      <c r="E58" s="56" t="s">
        <v>584</v>
      </c>
      <c r="F58">
        <v>231069.77913800001</v>
      </c>
      <c r="G58">
        <v>1534541351.1700001</v>
      </c>
      <c r="H58">
        <v>1534.5413511700001</v>
      </c>
      <c r="I58">
        <v>0</v>
      </c>
      <c r="J58">
        <v>0</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M 0 E A A B Q S w M E F A A C A A g A w a k B S 5 F n o Q S p A A A A + A A A A B I A H A B D b 2 5 m a W c v U G F j a 2 F n Z S 5 4 b W w g o h g A K K A U A A A A A A A A A A A A A A A A A A A A A A A A A A A A h Y + x C s I w G I R f p W R v k k a p p f x N Q Q c X C 4 I g r i H G N t i m 0 q S m 7 + b g I / k K F r T q J t x y x 3 d w 9 7 j d I R + a O r i q z u r W Z C j C F A X K y P a o T Z m h 3 p 3 C B O U c t k K e R a m C E T Y 2 H a z O U O X c J S X E e 4 / 9 D L d d S R i l E T k U m 5 2 s V C N C b a w T R i r 0 a R 3 / t x C H / W s M Z 3 i + G B X H m C U R k C m G Q p s v w s b F m A L 5 C W H V 1 6 7 v F F c m X C + B T B b I + w V / A l B L A w Q U A A I A C A D B q Q F L 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w a k B S y / q l w f C A Q A A H Q U A A B M A H A B G b 3 J t d W x h c y 9 T Z W N 0 a W 9 u M S 5 t I K I Y A C i g F A A A A A A A A A A A A A A A A A A A A A A A A A A A A N 1 S X W v b M B R 9 D + Q / C O 8 l A W P q s G 6 w 4 g d / l X o k c V M 7 T / U Q s n 2 X e J W l I F 2 X l N D / P m V J a b u 4 3 c t g M L 1 Y P u f o S O d y N F T Y S E G y w 9 e 9 G A 6 G A 7 1 m C m o S b z d S I U 0 7 3 H R I P M I B h w N i V i Y 7 V Y F B Q n 3 v R L L q W h A 4 u m w 4 O K E U a H 7 0 y A q / F E s N S h c l 4 / x H k Q q I V H M P x Z N e F 8 n s O r 5 J / G m R X 8 V Z k h V p w 0 n E k B W v L n Z w i 9 b Y v o 2 A N 2 2 D o D z L t m w S S t 6 1 Q n v u m U 1 i U c m 6 E S v P n Z x P b L L o J E K G D x y 8 5 6 0 z l w K + j e 1 D g g / W t Z K t 4 W p y B a w 2 z 7 R M n J y V R n h k j v j o E N Y m t 0 f c 5 z y r G G d K e 6 i 6 l 5 b h m o m V c c w f N v B s l y s m 9 H e p 2 s O L 9 6 Q e 9 d x v 7 3 b W Z R K Z a I n A T x + d v f D R J j t r n s 6 C m 9 j g a B C C s M V f c G q G 5 0 c n 8 H w 5 o 8 H i 1 C W Y p o v l q U u 2 Z h u g U x C r J 0 p 0 b Q n q B e k r Y D 3 k H q Z 3 7 a S H M t k m Z + 5 5 W f I + k v r U M O b o b + T j e D h o R O 8 w 3 2 y l + 8 9 q 6 f 6 h l 5 / / o 1 q m w d c 4 z J O I u q e 9 M t O h J Z f V n a Z Q N 6 j p W w X M 1 g D o U h r s x X T O W u g p 4 0 G S b k A x l O q d t u L 6 L / X 1 v d b 9 B F B L A Q I t A B Q A A g A I A M G p A U u R Z 6 E E q Q A A A P g A A A A S A A A A A A A A A A A A A A A A A A A A A A B D b 2 5 m a W c v U G F j a 2 F n Z S 5 4 b W x Q S w E C L Q A U A A I A C A D B q Q F L D 8 r p q 6 Q A A A D p A A A A E w A A A A A A A A A A A A A A A A D 1 A A A A W 0 N v b n R l b n R f V H l w Z X N d L n h t b F B L A Q I t A B Q A A g A I A M G p A U s v 6 p c H w g E A A B 0 F A A A T A A A A A A A A A A A A A A A A A O Y B A A B G b 3 J t d W x h c y 9 T Z W N 0 a W 9 u M S 5 t U E s F B g A A A A A D A A M A w g A A A P U D 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m M Y A A A A A A A A Q R g 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I C 8 + P C 9 J d G V t P j x J d G V t P j x J d G V t T G 9 j Y X R p b 2 4 + P E l 0 Z W 1 U e X B l P k Z v c m 1 1 b G E 8 L 0 l 0 Z W 1 U e X B l P j x J d G V t U G F 0 a D 5 T Z W N 0 a W 9 u M S 9 F e H B v c n R f T 3 V 0 c H V 0 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l J l c 3 V s d F R 5 c G U i I F Z h b H V l P S J z V G F i b G U i I C 8 + P E V u d H J 5 I F R 5 c G U 9 I k J 1 Z m Z l c k 5 l e H R S Z W Z y Z X N o I i B W Y W x 1 Z T 0 i b D E i I C 8 + P E V u d H J 5 I F R 5 c G U 9 I k Z p b G x M Y X N 0 V X B k Y X R l Z C I g V m F s d W U 9 I m Q y M D E 3 L T A 3 L T I x V D I w O j U 1 O j I 3 L j E 4 O D I 4 M D F a I i A v P j x F b n R y e S B U e X B l P S J G a W x s Q 2 9 s d W 1 u T m F t Z X M i I F Z h b H V l P S J z W y Z x d W 9 0 O 0 Z J R C Z x d W 9 0 O y w m c X V v d D t O T 0 1 C U k U m c X V v d D s s J n F 1 b 3 Q 7 T 1 B F U k F E J n F 1 b 3 Q 7 L C Z x d W 9 0 O 0 5 V T V 9 C U S Z x d W 9 0 O y w m c X V v d D t C T E 9 R V U U m c X V v d D s s J n F 1 b 3 Q 7 U 2 h h c G V f T G V u Z y Z x d W 9 0 O y w m c X V v d D t T a G F w Z V 9 B c m V h J n F 1 b 3 Q 7 L C Z x d W 9 0 O 0 F y Z W F f a 2 0 y J n F 1 b 3 Q 7 L C Z x d W 9 0 O 1 B y b z I w M T V i Y m w m c X V v d D s s J n F 1 b 3 Q 7 U F 9 B X 2 J i b F 9 r b S Z x d W 9 0 O 1 0 i I C 8 + P E V u d H J 5 I F R 5 c G U 9 I k Z p b G x F c n J v c k N v Z G U i I F Z h b H V l P S J z V W 5 r b m 9 3 b i I g L z 4 8 R W 5 0 c n k g V H l w Z T 0 i R m l s b E N v b H V t b l R 5 c G V z I i B W Y W x 1 Z T 0 i c 0 F 3 W U d B d 1 l G Q l F V R k J R P T 0 i I C 8 + P E V u d H J 5 I F R 5 c G U 9 I k Z p b G x F c n J v c k N v d W 5 0 I i B W Y W x 1 Z T 0 i b D A i I C 8 + P E V u d H J 5 I F R 5 c G U 9 I k Z p b G x D b 3 V u d C I g V m F s d W U 9 I m w 1 N y I g L z 4 8 R W 5 0 c n k g V H l w Z T 0 i R m l s b F N 0 Y X R 1 c y I g V m F s d W U 9 I n N D b 2 1 w b G V 0 Z S I g L z 4 8 R W 5 0 c n k g V H l w Z T 0 i R m l s b F R h c m d l d C I g V m F s d W U 9 I n N F e H B v c n R f T 3 V 0 c H V 0 I i A v P j x F b n R y e S B U e X B l P S J O Y W 1 l V X B k Y X R l Z E F m d G V y R m l s b C I g V m F s d W U 9 I m w w I i A v P j x F b n R y e S B U e X B l P S J B Z G R l Z F R v R G F 0 Y U 1 v Z G V s I i B W Y W x 1 Z T 0 i b D A i I C 8 + P E V u d H J 5 I F R 5 c G U 9 I k Z p b G x l Z E N v b X B s Z X R l U m V z d W x 0 V G 9 X b 3 J r c 2 h l Z X Q i I F Z h b H V l P S J s M S I g L z 4 8 R W 5 0 c n k g V H l w Z T 0 i U m V s Y X R p b 2 5 z a G l w S W 5 m b 0 N v b n R h a W 5 l c i I g V m F s d W U 9 I n N 7 J n F 1 b 3 Q 7 Y 2 9 s d W 1 u Q 2 9 1 b n Q m c X V v d D s 6 M T A s J n F 1 b 3 Q 7 a 2 V 5 Q 2 9 s d W 1 u T m F t Z X M m c X V v d D s 6 W 1 0 s J n F 1 b 3 Q 7 c X V l c n l S Z W x h d G l v b n N o a X B z J n F 1 b 3 Q 7 O l t d L C Z x d W 9 0 O 2 N v b H V t b k l k Z W 5 0 a X R p Z X M m c X V v d D s 6 W y Z x d W 9 0 O 1 N l Y 3 R p b 2 4 x L 0 V 4 c G 9 y d F 9 P d X R w d X Q v Q 2 h h b m d l Z C B U e X B l L n t G S U Q s M H 0 m c X V v d D s s J n F 1 b 3 Q 7 U 2 V j d G l v b j E v R X h w b 3 J 0 X 0 9 1 d H B 1 d C 9 D a G F u Z 2 V k I F R 5 c G U u e 0 5 P T U J S R S w x f S Z x d W 9 0 O y w m c X V v d D t T Z W N 0 a W 9 u M S 9 F e H B v c n R f T 3 V 0 c H V 0 L 0 N o Y W 5 n Z W Q g V H l w Z S 5 7 T 1 B F U k F E L D J 9 J n F 1 b 3 Q 7 L C Z x d W 9 0 O 1 N l Y 3 R p b 2 4 x L 0 V 4 c G 9 y d F 9 P d X R w d X Q v Q 2 h h b m d l Z C B U e X B l L n t O V U 1 f Q l E s M 3 0 m c X V v d D s s J n F 1 b 3 Q 7 U 2 V j d G l v b j E v R X h w b 3 J 0 X 0 9 1 d H B 1 d C 9 D a G F u Z 2 V k I F R 5 c G U u e 0 J M T 1 F V R S w 0 f S Z x d W 9 0 O y w m c X V v d D t T Z W N 0 a W 9 u M S 9 F e H B v c n R f T 3 V 0 c H V 0 L 0 N o Y W 5 n Z W Q g V H l w Z S 5 7 U 2 h h c G V f T G V u Z y w 1 f S Z x d W 9 0 O y w m c X V v d D t T Z W N 0 a W 9 u M S 9 F e H B v c n R f T 3 V 0 c H V 0 L 0 N o Y W 5 n Z W Q g V H l w Z S 5 7 U 2 h h c G V f Q X J l Y S w 2 f S Z x d W 9 0 O y w m c X V v d D t T Z W N 0 a W 9 u M S 9 F e H B v c n R f T 3 V 0 c H V 0 L 0 N o Y W 5 n Z W Q g V H l w Z S 5 7 Q X J l Y V 9 r b T I s N 3 0 m c X V v d D s s J n F 1 b 3 Q 7 U 2 V j d G l v b j E v R X h w b 3 J 0 X 0 9 1 d H B 1 d C 9 D a G F u Z 2 V k I F R 5 c G U u e 1 B y b z I w M T V i Y m w s O H 0 m c X V v d D s s J n F 1 b 3 Q 7 U 2 V j d G l v b j E v R X h w b 3 J 0 X 0 9 1 d H B 1 d C 9 D a G F u Z 2 V k I F R 5 c G U u e 1 B f Q V 9 i Y m x f a 2 0 s O X 0 m c X V v d D t d L C Z x d W 9 0 O 0 N v b H V t b k N v d W 5 0 J n F 1 b 3 Q 7 O j E w L C Z x d W 9 0 O 0 t l e U N v b H V t b k 5 h b W V z J n F 1 b 3 Q 7 O l t d L C Z x d W 9 0 O 0 N v b H V t b k l k Z W 5 0 a X R p Z X M m c X V v d D s 6 W y Z x d W 9 0 O 1 N l Y 3 R p b 2 4 x L 0 V 4 c G 9 y d F 9 P d X R w d X Q v Q 2 h h b m d l Z C B U e X B l L n t G S U Q s M H 0 m c X V v d D s s J n F 1 b 3 Q 7 U 2 V j d G l v b j E v R X h w b 3 J 0 X 0 9 1 d H B 1 d C 9 D a G F u Z 2 V k I F R 5 c G U u e 0 5 P T U J S R S w x f S Z x d W 9 0 O y w m c X V v d D t T Z W N 0 a W 9 u M S 9 F e H B v c n R f T 3 V 0 c H V 0 L 0 N o Y W 5 n Z W Q g V H l w Z S 5 7 T 1 B F U k F E L D J 9 J n F 1 b 3 Q 7 L C Z x d W 9 0 O 1 N l Y 3 R p b 2 4 x L 0 V 4 c G 9 y d F 9 P d X R w d X Q v Q 2 h h b m d l Z C B U e X B l L n t O V U 1 f Q l E s M 3 0 m c X V v d D s s J n F 1 b 3 Q 7 U 2 V j d G l v b j E v R X h w b 3 J 0 X 0 9 1 d H B 1 d C 9 D a G F u Z 2 V k I F R 5 c G U u e 0 J M T 1 F V R S w 0 f S Z x d W 9 0 O y w m c X V v d D t T Z W N 0 a W 9 u M S 9 F e H B v c n R f T 3 V 0 c H V 0 L 0 N o Y W 5 n Z W Q g V H l w Z S 5 7 U 2 h h c G V f T G V u Z y w 1 f S Z x d W 9 0 O y w m c X V v d D t T Z W N 0 a W 9 u M S 9 F e H B v c n R f T 3 V 0 c H V 0 L 0 N o Y W 5 n Z W Q g V H l w Z S 5 7 U 2 h h c G V f Q X J l Y S w 2 f S Z x d W 9 0 O y w m c X V v d D t T Z W N 0 a W 9 u M S 9 F e H B v c n R f T 3 V 0 c H V 0 L 0 N o Y W 5 n Z W Q g V H l w Z S 5 7 Q X J l Y V 9 r b T I s N 3 0 m c X V v d D s s J n F 1 b 3 Q 7 U 2 V j d G l v b j E v R X h w b 3 J 0 X 0 9 1 d H B 1 d C 9 D a G F u Z 2 V k I F R 5 c G U u e 1 B y b z I w M T V i Y m w s O H 0 m c X V v d D s s J n F 1 b 3 Q 7 U 2 V j d G l v b j E v R X h w b 3 J 0 X 0 9 1 d H B 1 d C 9 D a G F u Z 2 V k I F R 5 c G U u e 1 B f Q V 9 i Y m x f a 2 0 s O X 0 m c X V v d D t d L C Z x d W 9 0 O 1 J l b G F 0 a W 9 u c 2 h p c E l u Z m 8 m c X V v d D s 6 W 1 1 9 I i A v P j w v U 3 R h Y m x l R W 5 0 c m l l c z 4 8 L 0 l 0 Z W 0 + P E l 0 Z W 0 + P E l 0 Z W 1 M b 2 N h d G l v b j 4 8 S X R l b V R 5 c G U + R m 9 y b X V s Y T w v S X R l b V R 5 c G U + P E l 0 Z W 1 Q Y X R o P l N l Y 3 R p b 2 4 x L 0 V 4 c G 9 y d F 9 P d X R w d X Q v U 2 9 1 c m N l P C 9 J d G V t U G F 0 a D 4 8 L 0 l 0 Z W 1 M b 2 N h d G l v b j 4 8 U 3 R h Y m x l R W 5 0 c m l l c y A v P j w v S X R l b T 4 8 S X R l b T 4 8 S X R l b U x v Y 2 F 0 a W 9 u P j x J d G V t V H l w Z T 5 G b 3 J t d W x h P C 9 J d G V t V H l w Z T 4 8 S X R l b V B h d G g + U 2 V j d G l v b j E v R X h w b 3 J 0 X 0 9 1 d H B 1 d C 9 Q c m 9 t b 3 R l Z C U y M E h l Y W R l c n M 8 L 0 l 0 Z W 1 Q Y X R o P j w v S X R l b U x v Y 2 F 0 a W 9 u P j x T d G F i b G V F b n R y a W V z I C 8 + P C 9 J d G V t P j x J d G V t P j x J d G V t T G 9 j Y X R p b 2 4 + P E l 0 Z W 1 U e X B l P k Z v c m 1 1 b G E 8 L 0 l 0 Z W 1 U e X B l P j x J d G V t U G F 0 a D 5 T Z W N 0 a W 9 u M S 9 F e H B v c n R f T 3 V 0 c H V 0 L 0 N o Y W 5 n Z W Q l M j B U e X B l P C 9 J d G V t U G F 0 a D 4 8 L 0 l 0 Z W 1 M b 2 N h d G l v b j 4 8 U 3 R h Y m x l R W 5 0 c m l l c y A v P j w v S X R l b T 4 8 S X R l b T 4 8 S X R l b U x v Y 2 F 0 a W 9 u P j x J d G V t V H l w Z T 5 G b 3 J t d W x h P C 9 J d G V t V H l w Z T 4 8 S X R l b V B h d G g + U 2 V j d G l v b j E v R X h w b 3 J 0 X 0 9 1 d H B 1 d D 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m V z d W x 0 V H l w Z S I g V m F s d W U 9 I n N U Y W J s Z S I g L z 4 8 R W 5 0 c n k g V H l w Z T 0 i Q n V m Z m V y T m V 4 d F J l Z n J l c 2 g i I F Z h b H V l P S J s M S I g L z 4 8 R W 5 0 c n k g V H l w Z T 0 i R m l s b E x h c 3 R V c G R h d G V k I i B W Y W x 1 Z T 0 i Z D I w M T c t M D g t M D F U M T g 6 N T k 6 M z I u N T k w M T g z M V o i I C 8 + P E V u d H J 5 I F R 5 c G U 9 I k Z p b G x D b 2 x 1 b W 5 O Y W 1 l c y I g V m F s d W U 9 I n N b J n F 1 b 3 Q 7 T 0 J K R U N U S U R f M S Z x d W 9 0 O y w m c X V v d D t P a W x f Y m x v Y 2 t z X 2 V k a X R z X 0 5 V T V 9 C U S Z x d W 9 0 O y w m c X V v d D t T a G V l d D F f X 0 J s b 2 N r X 0 5 h b W U m c X V v d D s s J n F 1 b 3 Q 7 U 2 h l Z X Q x X 1 9 P c G V y Y X R v c i Z x d W 9 0 O y w m c X V v d D t T a G F w Z V 9 M Z W 5 n d G g m c X V v d D s s J n F 1 b 3 Q 7 U 2 h h c G V f Q X J l Y S Z x d W 9 0 O y w m c X V v d D t B c m V h X 2 t t M i Z x d W 9 0 O 1 0 i I C 8 + P E V u d H J 5 I F R 5 c G U 9 I k Z p b G x F c n J v c k N v Z G U i I F Z h b H V l P S J z V W 5 r b m 9 3 b i I g L z 4 8 R W 5 0 c n k g V H l w Z T 0 i R m l s b E N v b H V t b l R 5 c G V z I i B W Y W x 1 Z T 0 i c 0 F 3 T U d C Z 1 V G Q l E 9 P S I g L z 4 8 R W 5 0 c n k g V H l w Z T 0 i R m l s b E V y c m 9 y Q 2 9 1 b n Q i I F Z h b H V l P S J s M C I g L z 4 8 R W 5 0 c n k g V H l w Z T 0 i R m l s b E N v d W 5 0 I i B W Y W x 1 Z T 0 i b D Y x I i A v P j x F b n R y e S B U e X B l P S J G a W x s U 3 R h d H V z I i B W Y W x 1 Z T 0 i c 0 N v b X B s Z X R l I i A v P j x F b n R y e S B U e X B l P S J G a W x s V G F y Z 2 V 0 I i B W Y W x 1 Z T 0 i c 0 V 4 c G 9 y d F 9 P d X R w d X Q x I i A v P j x F b n R y e S B U e X B l P S J O Y W 1 l V X B k Y X R l Z E F m d G V y R m l s b C I g V m F s d W U 9 I m w w I i A v P j x F b n R y e S B U e X B l P S J B Z G R l Z F R v R G F 0 Y U 1 v Z G V s I i B W Y W x 1 Z T 0 i b D A i I C 8 + P E V u d H J 5 I F R 5 c G U 9 I k Z p b G x l Z E N v b X B s Z X R l U m V z d W x 0 V G 9 X b 3 J r c 2 h l Z X Q i I F Z h b H V l P S J s M S I g L z 4 8 R W 5 0 c n k g V H l w Z T 0 i U m V s Y X R p b 2 5 z a G l w S W 5 m b 0 N v b n R h a W 5 l c i I g V m F s d W U 9 I n N 7 J n F 1 b 3 Q 7 Y 2 9 s d W 1 u Q 2 9 1 b n Q m c X V v d D s 6 N y w m c X V v d D t r Z X l D b 2 x 1 b W 5 O Y W 1 l c y Z x d W 9 0 O z p b X S w m c X V v d D t x d W V y e V J l b G F 0 a W 9 u c 2 h p c H M m c X V v d D s 6 W 1 0 s J n F 1 b 3 Q 7 Y 2 9 s d W 1 u S W R l b n R p d G l l c y Z x d W 9 0 O z p b J n F 1 b 3 Q 7 U 2 V j d G l v b j E v R X h w b 3 J 0 X 0 9 1 d H B 1 d D E v Q 2 h h b m d l Z C B U e X B l L n t P Q k p F Q 1 R J R F 8 x L D B 9 J n F 1 b 3 Q 7 L C Z x d W 9 0 O 1 N l Y 3 R p b 2 4 x L 0 V 4 c G 9 y d F 9 P d X R w d X Q x L 0 N o Y W 5 n Z W Q g V H l w Z S 5 7 T 2 l s X 2 J s b 2 N r c 1 9 l Z G l 0 c 1 9 O V U 1 f Q l E s M X 0 m c X V v d D s s J n F 1 b 3 Q 7 U 2 V j d G l v b j E v R X h w b 3 J 0 X 0 9 1 d H B 1 d D E v Q 2 h h b m d l Z C B U e X B l L n t T a G V l d D F f X 0 J s b 2 N r X 0 5 h b W U s M n 0 m c X V v d D s s J n F 1 b 3 Q 7 U 2 V j d G l v b j E v R X h w b 3 J 0 X 0 9 1 d H B 1 d D E v Q 2 h h b m d l Z C B U e X B l L n t T a G V l d D F f X 0 9 w Z X J h d G 9 y L D N 9 J n F 1 b 3 Q 7 L C Z x d W 9 0 O 1 N l Y 3 R p b 2 4 x L 0 V 4 c G 9 y d F 9 P d X R w d X Q x L 0 N o Y W 5 n Z W Q g V H l w Z S 5 7 U 2 h h c G V f T G V u Z 3 R o L D R 9 J n F 1 b 3 Q 7 L C Z x d W 9 0 O 1 N l Y 3 R p b 2 4 x L 0 V 4 c G 9 y d F 9 P d X R w d X Q x L 0 N o Y W 5 n Z W Q g V H l w Z S 5 7 U 2 h h c G V f Q X J l Y S w 1 f S Z x d W 9 0 O y w m c X V v d D t T Z W N 0 a W 9 u M S 9 F e H B v c n R f T 3 V 0 c H V 0 M S 9 D a G F u Z 2 V k I F R 5 c G U u e 0 F y Z W F f a 2 0 y L D Z 9 J n F 1 b 3 Q 7 X S w m c X V v d D t D b 2 x 1 b W 5 D b 3 V u d C Z x d W 9 0 O z o 3 L C Z x d W 9 0 O 0 t l e U N v b H V t b k 5 h b W V z J n F 1 b 3 Q 7 O l t d L C Z x d W 9 0 O 0 N v b H V t b k l k Z W 5 0 a X R p Z X M m c X V v d D s 6 W y Z x d W 9 0 O 1 N l Y 3 R p b 2 4 x L 0 V 4 c G 9 y d F 9 P d X R w d X Q x L 0 N o Y W 5 n Z W Q g V H l w Z S 5 7 T 0 J K R U N U S U R f M S w w f S Z x d W 9 0 O y w m c X V v d D t T Z W N 0 a W 9 u M S 9 F e H B v c n R f T 3 V 0 c H V 0 M S 9 D a G F u Z 2 V k I F R 5 c G U u e 0 9 p b F 9 i b G 9 j a 3 N f Z W R p d H N f T l V N X 0 J R L D F 9 J n F 1 b 3 Q 7 L C Z x d W 9 0 O 1 N l Y 3 R p b 2 4 x L 0 V 4 c G 9 y d F 9 P d X R w d X Q x L 0 N o Y W 5 n Z W Q g V H l w Z S 5 7 U 2 h l Z X Q x X 1 9 C b G 9 j a 1 9 O Y W 1 l L D J 9 J n F 1 b 3 Q 7 L C Z x d W 9 0 O 1 N l Y 3 R p b 2 4 x L 0 V 4 c G 9 y d F 9 P d X R w d X Q x L 0 N o Y W 5 n Z W Q g V H l w Z S 5 7 U 2 h l Z X Q x X 1 9 P c G V y Y X R v c i w z f S Z x d W 9 0 O y w m c X V v d D t T Z W N 0 a W 9 u M S 9 F e H B v c n R f T 3 V 0 c H V 0 M S 9 D a G F u Z 2 V k I F R 5 c G U u e 1 N o Y X B l X 0 x l b m d 0 a C w 0 f S Z x d W 9 0 O y w m c X V v d D t T Z W N 0 a W 9 u M S 9 F e H B v c n R f T 3 V 0 c H V 0 M S 9 D a G F u Z 2 V k I F R 5 c G U u e 1 N o Y X B l X 0 F y Z W E s N X 0 m c X V v d D s s J n F 1 b 3 Q 7 U 2 V j d G l v b j E v R X h w b 3 J 0 X 0 9 1 d H B 1 d D E v Q 2 h h b m d l Z C B U e X B l L n t B c m V h X 2 t t M i w 2 f S Z x d W 9 0 O 1 0 s J n F 1 b 3 Q 7 U m V s Y X R p b 2 5 z a G l w S W 5 m b y Z x d W 9 0 O z p b X X 0 i I C 8 + P C 9 T d G F i b G V F b n R y a W V z P j w v S X R l b T 4 8 S X R l b T 4 8 S X R l b U x v Y 2 F 0 a W 9 u P j x J d G V t V H l w Z T 5 G b 3 J t d W x h P C 9 J d G V t V H l w Z T 4 8 S X R l b V B h d G g + U 2 V j d G l v b j E v R X h w b 3 J 0 X 0 9 1 d H B 1 d D E v U 2 9 1 c m N l P C 9 J d G V t U G F 0 a D 4 8 L 0 l 0 Z W 1 M b 2 N h d G l v b j 4 8 U 3 R h Y m x l R W 5 0 c m l l c y A v P j w v S X R l b T 4 8 S X R l b T 4 8 S X R l b U x v Y 2 F 0 a W 9 u P j x J d G V t V H l w Z T 5 G b 3 J t d W x h P C 9 J d G V t V H l w Z T 4 8 S X R l b V B h d G g + U 2 V j d G l v b j E v R X h w b 3 J 0 X 0 9 1 d H B 1 d D E v U H J v b W 9 0 Z W Q l M j B I Z W F k Z X J z P C 9 J d G V t U G F 0 a D 4 8 L 0 l 0 Z W 1 M b 2 N h d G l v b j 4 8 U 3 R h Y m x l R W 5 0 c m l l c y A v P j w v S X R l b T 4 8 S X R l b T 4 8 S X R l b U x v Y 2 F 0 a W 9 u P j x J d G V t V H l w Z T 5 G b 3 J t d W x h P C 9 J d G V t V H l w Z T 4 8 S X R l b V B h d G g + U 2 V j d G l v b j E v R X h w b 3 J 0 X 0 9 1 d H B 1 d D E v Q 2 h h b m d l Z C U y M F R 5 c G U 8 L 0 l 0 Z W 1 Q Y X R o P j w v S X R l b U x v Y 2 F 0 a W 9 u P j x T d G F i b G V F b n R y a W V z I C 8 + P C 9 J d G V t P j w v S X R l b X M + P C 9 M b 2 N h b F B h Y 2 t h Z 2 V N Z X R h Z G F 0 Y U Z p b G U + F g A A A F B L B Q Y A A A A A A A A A A A A A A A A A A A A A A A A m A Q A A A Q A A A N C M n d 8 B F d E R j H o A w E / C l + s B A A A A 9 2 Z 6 X e N n V 0 W s P 9 9 B y 6 5 t 6 Q A A A A A C A A A A A A A Q Z g A A A A E A A C A A A A C w U c i S R N + m b 6 O v P I 8 x C M n U M R p 3 z e o I s k P o e G M b q L F a y w A A A A A O g A A A A A I A A C A A A A A w k C q M B O y C V 8 L Q U C j t f 4 t B U 3 x u S o / 2 k 8 W n V 5 a / 3 I r U a 1 A A A A C s b w v N G v m E u O f K k Q K + t z R X v c q c 2 p V D f L Q a M 9 w L 0 n S / V j X L j h R j 7 s t J m s q f M 1 p h d 5 g Q k L U c 6 e 2 m u R X O v q A Q e Z U k 8 m K 7 s n n e Z O B t N N 5 u 4 E j X I 0 A A A A D G z e X E Q 9 y p L 9 X M 6 Y u F Z 6 O u r r B o O G M I k 1 y f p 8 Y e b e V X q g G I Y M O C f 2 4 6 o B H k 7 r H V h x 2 v 7 g D 6 0 6 m g j a R t 3 7 2 2 + 7 I P < / D a t a M a s h u p > 
</file>

<file path=customXml/itemProps1.xml><?xml version="1.0" encoding="utf-8"?>
<ds:datastoreItem xmlns:ds="http://schemas.openxmlformats.org/officeDocument/2006/customXml" ds:itemID="{70ED9941-836C-4EC2-8B08-9787C49781C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Public</vt:lpstr>
      <vt:lpstr>Public_R</vt:lpstr>
      <vt:lpstr>Private</vt:lpstr>
      <vt:lpstr>Fields List</vt:lpstr>
      <vt:lpstr>Block Totals</vt:lpstr>
      <vt:lpstr>Sheet4</vt:lpstr>
      <vt:lpstr>Sheet2</vt:lpstr>
      <vt:lpstr>Sheet1</vt:lpstr>
      <vt:lpstr>Sheet3</vt:lpstr>
      <vt:lpstr>Agr. Thresh.</vt:lpstr>
      <vt:lpstr>Reserves</vt:lpstr>
      <vt:lpstr>Info</vt:lpstr>
      <vt:lpstr>Sources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James Ball</dc:creator>
  <cp:lastModifiedBy>James Ball</cp:lastModifiedBy>
  <dcterms:created xsi:type="dcterms:W3CDTF">2017-06-21T22:08:26Z</dcterms:created>
  <dcterms:modified xsi:type="dcterms:W3CDTF">2018-04-02T07:06:01Z</dcterms:modified>
</cp:coreProperties>
</file>